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<sst xmlns="http://schemas.openxmlformats.org/spreadsheetml/2006/main" count="205" uniqueCount="203">
  <si>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</si>
  <si>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</si>
  <si>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</si>
  <si>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</si>
  <si>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</si>
  <si>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</si>
  <si>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</si>
  <si>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</si>
  <si>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</si>
  <si>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</si>
  <si>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</si>
  <si>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</si>
  <si>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</si>
  <si>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</si>
  <si>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</si>
  <si>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</si>
  <si>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</si>
  <si>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</si>
  <si>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</si>
  <si>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</si>
  <si>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</si>
  <si>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</si>
  <si>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</si>
  <si>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</si>
  <si>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</si>
  <si>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</si>
  <si>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</si>
  <si>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</si>
  <si>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</si>
  <si>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</si>
  <si>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</si>
  <si>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</si>
  <si>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</si>
  <si>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</si>
  <si>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</si>
  <si>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</si>
  <si>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</si>
  <si>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</si>
  <si>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</si>
  <si>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</si>
  <si>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</si>
  <si>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</si>
  <si>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</si>
  <si>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</si>
  <si>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</si>
  <si>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</si>
  <si>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</si>
  <si>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</si>
  <si>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</si>
  <si>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</si>
  <si>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</si>
  <si>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</si>
  <si>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</si>
  <si>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</si>
  <si>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</si>
  <si>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</si>
  <si>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</si>
  <si>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</si>
  <si>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</si>
  <si>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</si>
  <si>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</si>
  <si>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</si>
  <si>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</si>
  <si>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</si>
  <si>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</si>
  <si>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</si>
  <si>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</si>
  <si>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</si>
  <si>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</si>
  <si>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</si>
  <si>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</si>
  <si>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</si>
  <si>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</si>
  <si>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</si>
  <si>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</si>
  <si>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</si>
  <si>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</si>
  <si>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</si>
  <si>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</si>
  <si>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</si>
  <si>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</si>
  <si>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</si>
  <si>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</si>
  <si>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</si>
  <si>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</si>
  <si>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</si>
  <si>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</si>
  <si>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</si>
  <si>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</si>
  <si>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</si>
  <si>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</si>
  <si>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</si>
  <si>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</si>
  <si>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</si>
  <si>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</si>
  <si>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</si>
  <si>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</si>
  <si>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</si>
  <si>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</si>
  <si>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</si>
  <si>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</si>
  <si>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</si>
  <si>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</si>
  <si>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</si>
  <si>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</si>
  <si>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</si>
  <si>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</si>
  <si>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</si>
  <si>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</si>
  <si>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</si>
  <si>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</si>
  <si>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</si>
  <si>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</si>
  <si>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</si>
  <si>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</si>
  <si>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</si>
  <si>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</si>
  <si>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</si>
  <si>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</si>
  <si>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</si>
  <si>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</si>
  <si>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</si>
  <si>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</si>
  <si>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</si>
  <si>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</si>
  <si>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</si>
  <si>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</si>
  <si>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</si>
  <si>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</si>
  <si>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</si>
  <si>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</si>
  <si>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</si>
  <si>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</si>
  <si>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</si>
  <si>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</si>
  <si>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</si>
  <si>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</si>
  <si>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</si>
  <si>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</si>
  <si>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</si>
  <si>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</si>
  <si>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</si>
  <si>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</si>
  <si>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</si>
  <si>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</si>
  <si>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</si>
  <si>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</si>
  <si>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</si>
  <si>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</si>
  <si>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</si>
  <si>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</si>
  <si>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</si>
  <si>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</si>
  <si>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</si>
  <si>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</si>
  <si>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</si>
  <si>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</si>
  <si>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</si>
  <si>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</si>
  <si>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</si>
  <si>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</si>
  <si>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</si>
  <si>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</si>
  <si>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</si>
  <si>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</si>
  <si>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</si>
  <si>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</si>
  <si>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</si>
  <si>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</si>
  <si>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</si>
  <si>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</si>
  <si>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</si>
  <si>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</si>
  <si>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</si>
  <si>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</si>
  <si>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</si>
  <si>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</si>
  <si>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</si>
  <si>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</si>
  <si>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</si>
  <si>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</si>
  <si>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</si>
  <si>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</si>
  <si>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</si>
  <si>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</si>
  <si>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</si>
  <si>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</si>
  <si>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</si>
  <si>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</si>
  <si>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</si>
  <si>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</si>
  <si>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</si>
  <si>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</si>
  <si>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</si>
  <si>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</si>
  <si>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</si>
  <si>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</si>
  <si>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</si>
  <si>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</si>
  <si>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</si>
  <si>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Відсоток виконання до плану 11 місяців</t>
  </si>
  <si>
    <t>Залишок призначень до плану 11 місяців</t>
  </si>
  <si>
    <t>Профінансовано станом на 28.11.17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</si>
</sst>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0" fillId="0" borderId="10" xfId="87" applyFont="1" applyBorder="1">
      <alignment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4" fontId="5" fillId="0" borderId="10" xfId="98" applyNumberFormat="1" applyFont="1" applyFill="1" applyBorder="1" applyAlignment="1">
      <alignment horizontal="center" vertical="center"/>
    </xf>
    <xf numFmtId="188" fontId="21" fillId="0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Fill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8" fillId="0" borderId="0" xfId="87" applyFont="1" applyFill="1">
      <alignment/>
      <protection/>
    </xf>
    <xf numFmtId="0" fontId="18" fillId="0" borderId="0" xfId="87" applyFont="1" applyFill="1" applyAlignment="1">
      <alignment horizontal="right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8" fillId="0" borderId="10" xfId="87" applyFont="1" applyFill="1" applyBorder="1" applyAlignment="1">
      <alignment horizontal="center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0" borderId="10" xfId="80" applyFont="1" applyFill="1" applyBorder="1" applyAlignment="1">
      <alignment horizontal="center" vertical="center" wrapText="1"/>
      <protection/>
    </xf>
    <xf numFmtId="0" fontId="0" fillId="0" borderId="10" xfId="87" applyFont="1" applyFill="1" applyBorder="1">
      <alignment/>
      <protection/>
    </xf>
    <xf numFmtId="0" fontId="4" fillId="0" borderId="10" xfId="87" applyFont="1" applyFill="1" applyBorder="1">
      <alignment/>
      <protection/>
    </xf>
    <xf numFmtId="4" fontId="4" fillId="0" borderId="10" xfId="87" applyNumberFormat="1" applyFont="1" applyFill="1" applyBorder="1">
      <alignment/>
      <protection/>
    </xf>
    <xf numFmtId="4" fontId="5" fillId="0" borderId="10" xfId="87" applyNumberFormat="1" applyFont="1" applyFill="1" applyBorder="1" applyAlignment="1">
      <alignment horizontal="center" wrapText="1"/>
      <protection/>
    </xf>
    <xf numFmtId="4" fontId="5" fillId="0" borderId="0" xfId="98" applyNumberFormat="1" applyFont="1" applyFill="1" applyBorder="1" applyAlignment="1">
      <alignment horizontal="center" vertical="center"/>
    </xf>
    <xf numFmtId="0" fontId="0" fillId="0" borderId="0" xfId="87" applyFont="1" applyFill="1" applyAlignment="1">
      <alignment horizont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T14" sqref="AT1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106" customWidth="1"/>
    <col min="5" max="5" width="24.83203125" style="6" customWidth="1"/>
    <col min="6" max="6" width="24.16015625" style="6" customWidth="1"/>
    <col min="7" max="7" width="23.66015625" style="4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2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14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79" t="s">
        <v>21</v>
      </c>
      <c r="B2" s="79"/>
      <c r="C2" s="79"/>
      <c r="D2" s="79"/>
      <c r="E2" s="79"/>
      <c r="F2" s="79"/>
      <c r="G2" s="79"/>
    </row>
    <row r="3" spans="1:7" ht="20.25" customHeight="1">
      <c r="A3" s="80" t="s">
        <v>3</v>
      </c>
      <c r="B3" s="80"/>
      <c r="C3" s="80"/>
      <c r="D3" s="80"/>
      <c r="E3" s="80"/>
      <c r="F3" s="80"/>
      <c r="G3" s="80"/>
    </row>
    <row r="4" spans="3:7" ht="13.5" customHeight="1">
      <c r="C4" s="7"/>
      <c r="D4" s="95"/>
      <c r="E4" s="8"/>
      <c r="G4" s="96" t="s">
        <v>22</v>
      </c>
    </row>
    <row r="5" spans="1:10" ht="12" customHeight="1">
      <c r="A5" s="81" t="s">
        <v>7</v>
      </c>
      <c r="B5" s="9"/>
      <c r="C5" s="81" t="s">
        <v>23</v>
      </c>
      <c r="D5" s="97" t="s">
        <v>24</v>
      </c>
      <c r="E5" s="83" t="s">
        <v>0</v>
      </c>
      <c r="F5" s="83" t="s">
        <v>1</v>
      </c>
      <c r="G5" s="98" t="s">
        <v>2</v>
      </c>
      <c r="H5" s="83" t="s">
        <v>202</v>
      </c>
      <c r="I5" s="77" t="s">
        <v>27</v>
      </c>
      <c r="J5" s="77" t="s">
        <v>200</v>
      </c>
    </row>
    <row r="6" spans="1:25" ht="35.25" customHeight="1">
      <c r="A6" s="82"/>
      <c r="B6" s="11" t="s">
        <v>8</v>
      </c>
      <c r="C6" s="82"/>
      <c r="D6" s="99"/>
      <c r="E6" s="84"/>
      <c r="F6" s="84"/>
      <c r="G6" s="100" t="s">
        <v>25</v>
      </c>
      <c r="H6" s="84"/>
      <c r="I6" s="78"/>
      <c r="J6" s="78"/>
      <c r="L6" s="91" t="s">
        <v>201</v>
      </c>
      <c r="M6" s="77" t="s">
        <v>174</v>
      </c>
      <c r="N6" s="93" t="s">
        <v>175</v>
      </c>
      <c r="O6" s="77" t="s">
        <v>176</v>
      </c>
      <c r="P6" s="77" t="s">
        <v>177</v>
      </c>
      <c r="Q6" s="77" t="s">
        <v>178</v>
      </c>
      <c r="R6" s="77" t="s">
        <v>179</v>
      </c>
      <c r="S6" s="77" t="s">
        <v>180</v>
      </c>
      <c r="T6" s="77" t="s">
        <v>181</v>
      </c>
      <c r="U6" s="77" t="s">
        <v>182</v>
      </c>
      <c r="V6" s="77" t="s">
        <v>183</v>
      </c>
      <c r="W6" s="77" t="s">
        <v>184</v>
      </c>
      <c r="X6" s="77" t="s">
        <v>185</v>
      </c>
      <c r="Y6" s="77" t="s">
        <v>186</v>
      </c>
    </row>
    <row r="7" spans="1:25" ht="18" customHeight="1">
      <c r="A7" s="10">
        <v>1</v>
      </c>
      <c r="B7" s="10"/>
      <c r="C7" s="10">
        <v>2</v>
      </c>
      <c r="D7" s="98">
        <v>3</v>
      </c>
      <c r="E7" s="10">
        <v>4</v>
      </c>
      <c r="F7" s="10">
        <v>5</v>
      </c>
      <c r="G7" s="98">
        <v>6</v>
      </c>
      <c r="H7" s="10">
        <v>7</v>
      </c>
      <c r="I7" s="10">
        <v>8</v>
      </c>
      <c r="J7" s="10">
        <v>9</v>
      </c>
      <c r="L7" s="92"/>
      <c r="M7" s="78"/>
      <c r="N7" s="94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12" customFormat="1" ht="19.5" customHeight="1">
      <c r="A8" s="88" t="s">
        <v>11</v>
      </c>
      <c r="B8" s="89"/>
      <c r="C8" s="89"/>
      <c r="D8" s="89"/>
      <c r="E8" s="89"/>
      <c r="F8" s="89"/>
      <c r="G8" s="89"/>
      <c r="H8" s="89"/>
      <c r="I8" s="89"/>
      <c r="J8" s="90"/>
      <c r="L8" s="62"/>
      <c r="M8" s="62"/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19">
        <f>SUM(M8:X8)</f>
        <v>0</v>
      </c>
    </row>
    <row r="9" spans="1:29" ht="18.75">
      <c r="A9" s="13">
        <v>1</v>
      </c>
      <c r="B9" s="14"/>
      <c r="C9" s="15" t="s">
        <v>26</v>
      </c>
      <c r="D9" s="16">
        <f>D10+D26</f>
        <v>156558071.48</v>
      </c>
      <c r="E9" s="16">
        <f>E10+E26</f>
        <v>60585105.88</v>
      </c>
      <c r="F9" s="16">
        <f>F10+F26</f>
        <v>95972965.6</v>
      </c>
      <c r="G9" s="16">
        <f>G10+G26</f>
        <v>95972965.6</v>
      </c>
      <c r="H9" s="16">
        <f>H10+H26</f>
        <v>103090815.17999999</v>
      </c>
      <c r="I9" s="32">
        <f aca="true" t="shared" si="0" ref="I9:I25">H9/D9*100</f>
        <v>65.84829143936514</v>
      </c>
      <c r="J9" s="63">
        <f>H9/(M9+N9+O9+N26+O26+P9+P26+Q9+R9+S9+Q26+R26+S26+T9+T26+U9+U26+V9+V26+W9+W26)*100</f>
        <v>77.79320735374718</v>
      </c>
      <c r="K9" s="53"/>
      <c r="L9" s="64">
        <f>H10-(M9+N9+O9+P9+Q9+R9+S9+T9+U9+V9+W9)</f>
        <v>-7740047.410000004</v>
      </c>
      <c r="M9" s="65">
        <f>M10+M18</f>
        <v>5500800</v>
      </c>
      <c r="N9" s="66">
        <f>N10+N18</f>
        <v>4980000</v>
      </c>
      <c r="O9" s="65">
        <f>O10+O18</f>
        <v>4668604.88</v>
      </c>
      <c r="P9" s="65">
        <f>P10+P18</f>
        <v>-392439</v>
      </c>
      <c r="Q9" s="65">
        <f aca="true" t="shared" si="1" ref="Q9:X9">Q10+Q18</f>
        <v>2172168</v>
      </c>
      <c r="R9" s="65">
        <f t="shared" si="1"/>
        <v>2349352.8499999996</v>
      </c>
      <c r="S9" s="65">
        <f t="shared" si="1"/>
        <v>2763135.73</v>
      </c>
      <c r="T9" s="65">
        <f t="shared" si="1"/>
        <v>5718972.4</v>
      </c>
      <c r="U9" s="65">
        <f t="shared" si="1"/>
        <v>6655606.34</v>
      </c>
      <c r="V9" s="65">
        <f>V10+V18</f>
        <v>8858426.32</v>
      </c>
      <c r="W9" s="65">
        <f>W10+W18</f>
        <v>5555031.9399999995</v>
      </c>
      <c r="X9" s="65">
        <f t="shared" si="1"/>
        <v>11755446.42</v>
      </c>
      <c r="Y9" s="19">
        <f>SUM(M9:X9)</f>
        <v>60585105.88</v>
      </c>
      <c r="Z9" s="54">
        <f>D10-Y9</f>
        <v>0</v>
      </c>
      <c r="AC9" s="54"/>
    </row>
    <row r="10" spans="1:26" ht="18.75">
      <c r="A10" s="1"/>
      <c r="B10" s="17"/>
      <c r="C10" s="18" t="s">
        <v>12</v>
      </c>
      <c r="D10" s="19">
        <f>SUM(D11:D18)</f>
        <v>60585105.88</v>
      </c>
      <c r="E10" s="19">
        <f>SUM(E11:E18)</f>
        <v>60585105.88</v>
      </c>
      <c r="F10" s="19"/>
      <c r="G10" s="19"/>
      <c r="H10" s="19">
        <f>SUM(H11:H17)+H18</f>
        <v>41089612.05</v>
      </c>
      <c r="I10" s="33">
        <f t="shared" si="0"/>
        <v>67.82130930229876</v>
      </c>
      <c r="J10" s="67">
        <f>H10/(M9+N9+O9+P9+Q9+R9+S9+T9+U9+V9+W9)*100</f>
        <v>84.1488810374759</v>
      </c>
      <c r="L10" s="64">
        <f>(H11+H1+H15+H17)-(M10+N10+O10+P10+Q10+R10+S10+T10+U10+V10)</f>
        <v>-3609189.089999996</v>
      </c>
      <c r="M10" s="21">
        <f>5000800+300000</f>
        <v>5300800</v>
      </c>
      <c r="N10" s="55">
        <f>5000000-870000-300000+150000</f>
        <v>3980000</v>
      </c>
      <c r="O10" s="21">
        <f>4750000-281395.12-300000</f>
        <v>4168604.88</v>
      </c>
      <c r="P10" s="21">
        <f>6870000+330000-600000-2821000-205000-2079788-300000-2124400-150000-1968000-424039</f>
        <v>-3472227</v>
      </c>
      <c r="Q10" s="21">
        <f>6870000+330000-1000000-656400-186000-4435432</f>
        <v>922168</v>
      </c>
      <c r="R10" s="21">
        <f>6870000+210000+120000-143500+1000000-1091370-108451-6057326.15+130000</f>
        <v>929352.8499999996</v>
      </c>
      <c r="S10" s="21">
        <f>2350000+153400+1588862+154880-3115359.85-220000</f>
        <v>911782.1499999999</v>
      </c>
      <c r="T10" s="21">
        <f>2350000+281395.12+300000+268808+143500+304000+1000000+349566+1951598-948600-2569971.11+200000</f>
        <v>3630296.0100000002</v>
      </c>
      <c r="U10" s="21">
        <f>2350000+408828+545700+317900+70000+1622432-281400+87974.34-800000+275000</f>
        <v>4596434.34</v>
      </c>
      <c r="V10" s="21">
        <f>2350000+500000+533039+1073600+1005900+69000+344670+516924+108451+2892750+250000+303694.32-759300+399118.97-5155349</f>
        <v>4432498.290000001</v>
      </c>
      <c r="W10" s="21">
        <f>1900000+608828+700000+112000+300000+28400+184000+1163156+350000-291668.66-155900+108000-84449.86</f>
        <v>4922365.4799999995</v>
      </c>
      <c r="X10" s="21">
        <f>4750000+100000+85000+260285+2047400+307400+240000+424039+255000+186000+1542750+500000-100000-4000000+5047349-5640563.93</f>
        <v>6004659.07</v>
      </c>
      <c r="Y10" s="19">
        <f>SUM(M10:X10)</f>
        <v>36326734.06999999</v>
      </c>
      <c r="Z10" s="54">
        <f>Y10-D11-D13-D14-D15-D16-D17</f>
        <v>0</v>
      </c>
    </row>
    <row r="11" spans="1:26" ht="18.75">
      <c r="A11" s="1"/>
      <c r="B11" s="17"/>
      <c r="C11" s="20" t="s">
        <v>13</v>
      </c>
      <c r="D11" s="21">
        <f aca="true" t="shared" si="2" ref="D11:D16">E11+F11</f>
        <v>19296931</v>
      </c>
      <c r="E11" s="21">
        <v>19296931</v>
      </c>
      <c r="F11" s="19"/>
      <c r="G11" s="19"/>
      <c r="H11" s="21">
        <f>1757551+649569+642408.47+2529499+1053048+1276575+2609769+2658412+276158+744303+370529</f>
        <v>14567821.469999999</v>
      </c>
      <c r="I11" s="58">
        <f>H11/D11*100</f>
        <v>75.49294481075772</v>
      </c>
      <c r="J11" s="85">
        <f>(H11+H13+H14+H15+H16+H17)/(M10+N10+O10+P10+Q10+R10+S10+T10+U10+V10+W10)*100</f>
        <v>84.5195552415196</v>
      </c>
      <c r="L11" s="64"/>
      <c r="M11" s="21"/>
      <c r="N11" s="55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>
        <f aca="true" t="shared" si="3" ref="Y11:Y25">SUM(M11:X11)</f>
        <v>0</v>
      </c>
      <c r="Z11" s="54"/>
    </row>
    <row r="12" spans="1:26" ht="18.75" customHeight="1">
      <c r="A12" s="1"/>
      <c r="B12" s="17"/>
      <c r="C12" s="20" t="s">
        <v>14</v>
      </c>
      <c r="D12" s="21">
        <f t="shared" si="2"/>
        <v>0</v>
      </c>
      <c r="E12" s="21"/>
      <c r="F12" s="19"/>
      <c r="G12" s="19"/>
      <c r="H12" s="21"/>
      <c r="I12" s="34" t="e">
        <f t="shared" si="0"/>
        <v>#DIV/0!</v>
      </c>
      <c r="J12" s="86"/>
      <c r="L12" s="64"/>
      <c r="M12" s="21"/>
      <c r="N12" s="55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9">
        <f t="shared" si="3"/>
        <v>0</v>
      </c>
      <c r="Z12" s="54"/>
    </row>
    <row r="13" spans="1:26" ht="18.75">
      <c r="A13" s="1"/>
      <c r="B13" s="17"/>
      <c r="C13" s="20" t="s">
        <v>15</v>
      </c>
      <c r="D13" s="21">
        <f t="shared" si="2"/>
        <v>0</v>
      </c>
      <c r="E13" s="21">
        <f>498855-498855</f>
        <v>0</v>
      </c>
      <c r="F13" s="19"/>
      <c r="G13" s="19"/>
      <c r="H13" s="21"/>
      <c r="I13" s="34" t="e">
        <f t="shared" si="0"/>
        <v>#DIV/0!</v>
      </c>
      <c r="J13" s="86"/>
      <c r="L13" s="64"/>
      <c r="M13" s="21"/>
      <c r="N13" s="55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>
        <f t="shared" si="3"/>
        <v>0</v>
      </c>
      <c r="Z13" s="54"/>
    </row>
    <row r="14" spans="1:26" s="4" customFormat="1" ht="18.75">
      <c r="A14" s="1"/>
      <c r="B14" s="5"/>
      <c r="C14" s="20" t="s">
        <v>16</v>
      </c>
      <c r="D14" s="21">
        <f t="shared" si="2"/>
        <v>5001854.97</v>
      </c>
      <c r="E14" s="21">
        <f>4127736+475000+399118.97</f>
        <v>5001854.97</v>
      </c>
      <c r="F14" s="19"/>
      <c r="G14" s="19"/>
      <c r="H14" s="21">
        <f>68892.82+89790.91+48088.68+80280.14+84302.74+145199.65+45005.94+126453.46+63985.01+63691.77+72713.44+801408.56+191315.99+87872.27+568768.56+67144.64+268883.01+90416.24+108233.97+37480.78+104862.49+101539.71+93368.8+206403.16+135545.65+65413.97</f>
        <v>3817062.3600000003</v>
      </c>
      <c r="I14" s="35">
        <f t="shared" si="0"/>
        <v>76.31293555878531</v>
      </c>
      <c r="J14" s="86"/>
      <c r="L14" s="64"/>
      <c r="M14" s="21"/>
      <c r="N14" s="55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9">
        <f t="shared" si="3"/>
        <v>0</v>
      </c>
      <c r="Z14" s="54"/>
    </row>
    <row r="15" spans="1:26" ht="43.5" customHeight="1">
      <c r="A15" s="1"/>
      <c r="B15" s="17"/>
      <c r="C15" s="20" t="s">
        <v>29</v>
      </c>
      <c r="D15" s="21">
        <f t="shared" si="2"/>
        <v>3176800</v>
      </c>
      <c r="E15" s="21">
        <f>3026800+150000</f>
        <v>3176800</v>
      </c>
      <c r="F15" s="19"/>
      <c r="G15" s="19"/>
      <c r="H15" s="21">
        <f>189928+189904+230926+179930+243303+245304+245750+245763+246453</f>
        <v>2017261</v>
      </c>
      <c r="I15" s="35">
        <f t="shared" si="0"/>
        <v>63.499779652480484</v>
      </c>
      <c r="J15" s="86"/>
      <c r="L15" s="64"/>
      <c r="M15" s="21"/>
      <c r="N15" s="55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9">
        <f t="shared" si="3"/>
        <v>0</v>
      </c>
      <c r="Z15" s="54"/>
    </row>
    <row r="16" spans="1:26" ht="41.25" customHeight="1">
      <c r="A16" s="1"/>
      <c r="B16" s="17"/>
      <c r="C16" s="20" t="s">
        <v>17</v>
      </c>
      <c r="D16" s="21">
        <f t="shared" si="2"/>
        <v>23650.14</v>
      </c>
      <c r="E16" s="21">
        <f>108100-84449.86</f>
        <v>23650.14</v>
      </c>
      <c r="F16" s="19"/>
      <c r="G16" s="19"/>
      <c r="H16" s="21">
        <f>2950.14+17550</f>
        <v>20500.14</v>
      </c>
      <c r="I16" s="35">
        <f t="shared" si="0"/>
        <v>86.68083994428785</v>
      </c>
      <c r="J16" s="86"/>
      <c r="L16" s="64"/>
      <c r="M16" s="21"/>
      <c r="N16" s="55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9">
        <f t="shared" si="3"/>
        <v>0</v>
      </c>
      <c r="Z16" s="54"/>
    </row>
    <row r="17" spans="1:26" ht="99.75" customHeight="1">
      <c r="A17" s="1"/>
      <c r="B17" s="17"/>
      <c r="C17" s="20" t="s">
        <v>4</v>
      </c>
      <c r="D17" s="21">
        <f>E17</f>
        <v>8827497.96</v>
      </c>
      <c r="E17" s="21">
        <f>24352378-150000-1728000-220000-7786316.11-5640563.93</f>
        <v>8827497.96</v>
      </c>
      <c r="F17" s="19"/>
      <c r="G17" s="19"/>
      <c r="H17" s="21">
        <f>2189034.6+2579721.35+237682.01+68555.5+69152.5+61292</f>
        <v>5205437.96</v>
      </c>
      <c r="I17" s="35">
        <f t="shared" si="0"/>
        <v>58.96844138154861</v>
      </c>
      <c r="J17" s="87"/>
      <c r="L17" s="64">
        <f>E17-H17</f>
        <v>3622060.000000001</v>
      </c>
      <c r="M17" s="21"/>
      <c r="N17" s="55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19">
        <f t="shared" si="3"/>
        <v>0</v>
      </c>
      <c r="Z17" s="54"/>
    </row>
    <row r="18" spans="1:26" ht="37.5">
      <c r="A18" s="1"/>
      <c r="B18" s="17"/>
      <c r="C18" s="20" t="s">
        <v>5</v>
      </c>
      <c r="D18" s="21">
        <f>SUM(D19:D25)</f>
        <v>24258371.810000002</v>
      </c>
      <c r="E18" s="21">
        <f>SUM(E19:E25)</f>
        <v>24258371.810000002</v>
      </c>
      <c r="F18" s="21"/>
      <c r="G18" s="101"/>
      <c r="H18" s="21">
        <f>SUM(H19:H25)</f>
        <v>15461529.12</v>
      </c>
      <c r="I18" s="35">
        <f t="shared" si="0"/>
        <v>63.736879132285004</v>
      </c>
      <c r="J18" s="85">
        <f>H18/(M18+N18+O18+P18+Q18+R18+S18+T18+U18+V18+W18)*100</f>
        <v>83.5415834703693</v>
      </c>
      <c r="L18" s="64">
        <f>H18-(M18+N18+O18+P18+Q18+R18+S18+T18+U18+V18+W18)</f>
        <v>-3046055.3400000017</v>
      </c>
      <c r="M18" s="21">
        <f>500000-300000</f>
        <v>200000</v>
      </c>
      <c r="N18" s="55">
        <f>700000+300000</f>
        <v>1000000</v>
      </c>
      <c r="O18" s="21">
        <f>1200000-1000000+300000</f>
        <v>500000</v>
      </c>
      <c r="P18" s="21">
        <f>1400000-400000+2079788</f>
        <v>3079788</v>
      </c>
      <c r="Q18" s="21">
        <f>1600000-350000</f>
        <v>1250000</v>
      </c>
      <c r="R18" s="21">
        <f>2000000-400000-180000</f>
        <v>1420000</v>
      </c>
      <c r="S18" s="21">
        <f>2201200-350000-100000+100153.58</f>
        <v>1851353.58</v>
      </c>
      <c r="T18" s="21">
        <f>2200000-300000-268808+100000+357484.39</f>
        <v>2088676.3900000001</v>
      </c>
      <c r="U18" s="21">
        <f>1600000-408828+868000</f>
        <v>2059172</v>
      </c>
      <c r="V18" s="21">
        <f>1400000-533039+457002.03+3101965</f>
        <v>4425928.03</v>
      </c>
      <c r="W18" s="21">
        <f>1100000-608828+300000-158505.54</f>
        <v>632666.46</v>
      </c>
      <c r="X18" s="21">
        <f>655000-260285+180000+305860+3101965-3101965+4870212.35</f>
        <v>5750787.35</v>
      </c>
      <c r="Y18" s="19">
        <f>SUM(M18:X18)</f>
        <v>24258371.810000002</v>
      </c>
      <c r="Z18" s="54">
        <f>Y18-D18</f>
        <v>0</v>
      </c>
    </row>
    <row r="19" spans="1:25" ht="18.75">
      <c r="A19" s="1"/>
      <c r="B19" s="17"/>
      <c r="C19" s="22" t="s">
        <v>18</v>
      </c>
      <c r="D19" s="23">
        <f aca="true" t="shared" si="4" ref="D19:D25">E19</f>
        <v>6062501</v>
      </c>
      <c r="E19" s="23">
        <f>7041090-3720554+500000+1421965+820000</f>
        <v>6062501</v>
      </c>
      <c r="F19" s="21"/>
      <c r="G19" s="101"/>
      <c r="H19" s="21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+36491.98+62453+106800</f>
        <v>4377439.720000001</v>
      </c>
      <c r="I19" s="35">
        <f t="shared" si="0"/>
        <v>72.20517934759928</v>
      </c>
      <c r="J19" s="86"/>
      <c r="L19" s="64">
        <f>D19-H19</f>
        <v>1685061.2799999993</v>
      </c>
      <c r="M19" s="21"/>
      <c r="N19" s="55"/>
      <c r="O19" s="21"/>
      <c r="P19" s="21"/>
      <c r="Q19" s="21"/>
      <c r="R19" s="21"/>
      <c r="S19" s="21"/>
      <c r="T19" s="21">
        <f>E19-H19</f>
        <v>1685061.2799999993</v>
      </c>
      <c r="U19" s="21"/>
      <c r="V19" s="21"/>
      <c r="W19" s="21"/>
      <c r="X19" s="21"/>
      <c r="Y19" s="19">
        <f t="shared" si="3"/>
        <v>1685061.2799999993</v>
      </c>
    </row>
    <row r="20" spans="1:25" ht="18.75">
      <c r="A20" s="1"/>
      <c r="B20" s="17"/>
      <c r="C20" s="22" t="s">
        <v>19</v>
      </c>
      <c r="D20" s="23">
        <f t="shared" si="4"/>
        <v>7659040</v>
      </c>
      <c r="E20" s="23">
        <f>6959040+700000</f>
        <v>7659040</v>
      </c>
      <c r="F20" s="23"/>
      <c r="G20" s="102"/>
      <c r="H20" s="21">
        <f>40963.21+1270402.8+87336.35+87777.12+855757+545544.4+34951.62+1526742.2+187456.43+601733.05</f>
        <v>5238664.18</v>
      </c>
      <c r="I20" s="35">
        <f t="shared" si="0"/>
        <v>68.39844393030981</v>
      </c>
      <c r="J20" s="86"/>
      <c r="L20" s="64">
        <f aca="true" t="shared" si="5" ref="L20:L25">D20-H20</f>
        <v>2420375.8200000003</v>
      </c>
      <c r="M20" s="21"/>
      <c r="N20" s="55"/>
      <c r="O20" s="21"/>
      <c r="P20" s="21"/>
      <c r="Q20" s="21"/>
      <c r="R20" s="21"/>
      <c r="S20" s="21"/>
      <c r="T20" s="21">
        <f aca="true" t="shared" si="6" ref="T20:T25">E20-H20</f>
        <v>2420375.8200000003</v>
      </c>
      <c r="U20" s="21"/>
      <c r="V20" s="21"/>
      <c r="W20" s="21"/>
      <c r="X20" s="21"/>
      <c r="Y20" s="19">
        <f t="shared" si="3"/>
        <v>2420375.8200000003</v>
      </c>
    </row>
    <row r="21" spans="1:25" ht="18.75">
      <c r="A21" s="1"/>
      <c r="B21" s="17"/>
      <c r="C21" s="22" t="s">
        <v>20</v>
      </c>
      <c r="D21" s="23">
        <f t="shared" si="4"/>
        <v>1090414.46</v>
      </c>
      <c r="E21" s="23">
        <f>648920+600000-158505.54</f>
        <v>1090414.46</v>
      </c>
      <c r="F21" s="23"/>
      <c r="G21" s="102"/>
      <c r="H21" s="21">
        <f>611979.4+20796+10890+446749.06</f>
        <v>1090414.46</v>
      </c>
      <c r="I21" s="35">
        <f t="shared" si="0"/>
        <v>100</v>
      </c>
      <c r="J21" s="86"/>
      <c r="L21" s="64">
        <f t="shared" si="5"/>
        <v>0</v>
      </c>
      <c r="M21" s="21"/>
      <c r="N21" s="55"/>
      <c r="O21" s="21"/>
      <c r="P21" s="21"/>
      <c r="Q21" s="21"/>
      <c r="R21" s="21"/>
      <c r="S21" s="21"/>
      <c r="T21" s="21">
        <f t="shared" si="6"/>
        <v>0</v>
      </c>
      <c r="U21" s="21"/>
      <c r="V21" s="21"/>
      <c r="W21" s="21"/>
      <c r="X21" s="21"/>
      <c r="Y21" s="19">
        <f t="shared" si="3"/>
        <v>0</v>
      </c>
    </row>
    <row r="22" spans="1:25" ht="37.5">
      <c r="A22" s="1"/>
      <c r="B22" s="17"/>
      <c r="C22" s="22" t="s">
        <v>9</v>
      </c>
      <c r="D22" s="23">
        <f t="shared" si="4"/>
        <v>1382450</v>
      </c>
      <c r="E22" s="23">
        <f>1112450+190000+80000</f>
        <v>1382450</v>
      </c>
      <c r="F22" s="23"/>
      <c r="G22" s="102"/>
      <c r="H22" s="21">
        <f>32642.66+205118.63+15078+86000.71+13880+22980+15703+42945.76+29045.7+560+15660.22+21672+204231.03+3166.81+33355.03+4279.2+84253.73+53524.99+114875.8+21641+53234.99+6100+21780+52073.56+870+5542.48+24400</f>
        <v>1184615.3</v>
      </c>
      <c r="I22" s="35">
        <f t="shared" si="0"/>
        <v>85.68955839270859</v>
      </c>
      <c r="J22" s="86"/>
      <c r="L22" s="64">
        <f t="shared" si="5"/>
        <v>197834.69999999995</v>
      </c>
      <c r="M22" s="21"/>
      <c r="N22" s="55"/>
      <c r="O22" s="21"/>
      <c r="P22" s="21"/>
      <c r="Q22" s="21"/>
      <c r="R22" s="21"/>
      <c r="S22" s="21"/>
      <c r="T22" s="21">
        <f t="shared" si="6"/>
        <v>197834.69999999995</v>
      </c>
      <c r="U22" s="21"/>
      <c r="V22" s="21"/>
      <c r="W22" s="21"/>
      <c r="X22" s="21"/>
      <c r="Y22" s="19">
        <f t="shared" si="3"/>
        <v>197834.69999999995</v>
      </c>
    </row>
    <row r="23" spans="1:25" ht="18.75">
      <c r="A23" s="1"/>
      <c r="B23" s="17"/>
      <c r="C23" s="22" t="s">
        <v>10</v>
      </c>
      <c r="D23" s="23">
        <f t="shared" si="4"/>
        <v>397019</v>
      </c>
      <c r="E23" s="23">
        <f>325445+570000-498426</f>
        <v>397019</v>
      </c>
      <c r="F23" s="23"/>
      <c r="G23" s="102"/>
      <c r="H23" s="21">
        <f>153000+199019+45000</f>
        <v>397019</v>
      </c>
      <c r="I23" s="35">
        <f t="shared" si="0"/>
        <v>100</v>
      </c>
      <c r="J23" s="86"/>
      <c r="L23" s="64">
        <f t="shared" si="5"/>
        <v>0</v>
      </c>
      <c r="M23" s="21"/>
      <c r="N23" s="55"/>
      <c r="O23" s="21"/>
      <c r="P23" s="21"/>
      <c r="Q23" s="21"/>
      <c r="R23" s="21"/>
      <c r="S23" s="21"/>
      <c r="T23" s="21">
        <f t="shared" si="6"/>
        <v>0</v>
      </c>
      <c r="U23" s="21"/>
      <c r="V23" s="21"/>
      <c r="W23" s="21"/>
      <c r="X23" s="21"/>
      <c r="Y23" s="19">
        <f t="shared" si="3"/>
        <v>0</v>
      </c>
    </row>
    <row r="24" spans="1:25" ht="18.75" customHeight="1">
      <c r="A24" s="1"/>
      <c r="B24" s="17"/>
      <c r="C24" s="22" t="s">
        <v>65</v>
      </c>
      <c r="D24" s="23">
        <f t="shared" si="4"/>
        <v>386095</v>
      </c>
      <c r="E24" s="23">
        <f>136095+150000+100000</f>
        <v>386095</v>
      </c>
      <c r="F24" s="23"/>
      <c r="G24" s="102"/>
      <c r="H24" s="21">
        <f>133296+2799+46334.42+12510.9+65403.13</f>
        <v>260343.44999999998</v>
      </c>
      <c r="I24" s="35">
        <f t="shared" si="0"/>
        <v>67.42989419702404</v>
      </c>
      <c r="J24" s="86"/>
      <c r="L24" s="64">
        <f t="shared" si="5"/>
        <v>125751.55000000002</v>
      </c>
      <c r="M24" s="21"/>
      <c r="N24" s="55"/>
      <c r="O24" s="21"/>
      <c r="P24" s="21"/>
      <c r="Q24" s="21"/>
      <c r="R24" s="21"/>
      <c r="S24" s="21"/>
      <c r="T24" s="21">
        <f t="shared" si="6"/>
        <v>125751.55000000002</v>
      </c>
      <c r="U24" s="21"/>
      <c r="V24" s="21"/>
      <c r="W24" s="21"/>
      <c r="X24" s="21"/>
      <c r="Y24" s="19">
        <f t="shared" si="3"/>
        <v>125751.55000000002</v>
      </c>
    </row>
    <row r="25" spans="1:25" ht="58.5" customHeight="1">
      <c r="A25" s="1"/>
      <c r="B25" s="17"/>
      <c r="C25" s="22" t="s">
        <v>28</v>
      </c>
      <c r="D25" s="23">
        <f t="shared" si="4"/>
        <v>7280852.35</v>
      </c>
      <c r="E25" s="23">
        <f>333160+3720554-2500000+1168500+890000+3668638.35</f>
        <v>7280852.35</v>
      </c>
      <c r="F25" s="23"/>
      <c r="G25" s="103"/>
      <c r="H25" s="21">
        <f>98110+11845+14000+44592+188766.52+35049.91+36430+31810+164450.52+227765.52+17640+5257+42090+20928.7+65380+77230+45529.23+8401.2+26400.02+21481.87+112715.08+70066.48+296434.73+82469.91+75976.15+27006+113205.11+123070.29+93296.87+7000+77635.89+199900+69228.8+104177.5+15725.59+138556+14791.12+108620</f>
        <v>2913033.01</v>
      </c>
      <c r="I25" s="35">
        <f t="shared" si="0"/>
        <v>40.009505343148454</v>
      </c>
      <c r="J25" s="87"/>
      <c r="L25" s="64">
        <f t="shared" si="5"/>
        <v>4367819.34</v>
      </c>
      <c r="M25" s="21"/>
      <c r="N25" s="55"/>
      <c r="O25" s="21"/>
      <c r="P25" s="21"/>
      <c r="Q25" s="21"/>
      <c r="R25" s="21"/>
      <c r="S25" s="21"/>
      <c r="T25" s="21">
        <f t="shared" si="6"/>
        <v>4367819.34</v>
      </c>
      <c r="U25" s="21"/>
      <c r="V25" s="21"/>
      <c r="W25" s="21"/>
      <c r="X25" s="21"/>
      <c r="Y25" s="19">
        <f t="shared" si="3"/>
        <v>4367819.34</v>
      </c>
    </row>
    <row r="26" spans="1:26" ht="26.25" customHeight="1">
      <c r="A26" s="1"/>
      <c r="B26" s="17"/>
      <c r="C26" s="18" t="s">
        <v>30</v>
      </c>
      <c r="D26" s="19">
        <f>E26+F26</f>
        <v>95972965.6</v>
      </c>
      <c r="E26" s="19"/>
      <c r="F26" s="19">
        <f>SUM(F27:F146)</f>
        <v>95972965.6</v>
      </c>
      <c r="G26" s="19">
        <f>SUM(G27:G146)</f>
        <v>95972965.6</v>
      </c>
      <c r="H26" s="19">
        <f>SUM(H27:H146)</f>
        <v>62001203.129999995</v>
      </c>
      <c r="I26" s="19">
        <f>H26/D26*100</f>
        <v>64.60277927475026</v>
      </c>
      <c r="J26" s="19">
        <f>H26/(N26+O26+P26+Q26+R26+S26+T26+U26+V26+W26)*100</f>
        <v>74.08490694088285</v>
      </c>
      <c r="L26" s="64">
        <f>H26-(M26+N26+O26+P26+Q26+R26+S26+T26+U26+V26+W26)</f>
        <v>-21688182.049999997</v>
      </c>
      <c r="M26" s="68"/>
      <c r="N26" s="19">
        <f aca="true" t="shared" si="7" ref="N26:Y26">SUM(N27:N146)</f>
        <v>894745</v>
      </c>
      <c r="O26" s="19">
        <f t="shared" si="7"/>
        <v>20406979</v>
      </c>
      <c r="P26" s="19">
        <f t="shared" si="7"/>
        <v>5719836</v>
      </c>
      <c r="Q26" s="19">
        <f t="shared" si="7"/>
        <v>7110675</v>
      </c>
      <c r="R26" s="19">
        <f t="shared" si="7"/>
        <v>5571025.109999999</v>
      </c>
      <c r="S26" s="19">
        <f t="shared" si="7"/>
        <v>11263395.24</v>
      </c>
      <c r="T26" s="19">
        <f t="shared" si="7"/>
        <v>13671209.64</v>
      </c>
      <c r="U26" s="19">
        <f t="shared" si="7"/>
        <v>3144525.89</v>
      </c>
      <c r="V26" s="19">
        <f t="shared" si="7"/>
        <v>6882516.57</v>
      </c>
      <c r="W26" s="19">
        <f t="shared" si="7"/>
        <v>9024477.73</v>
      </c>
      <c r="X26" s="19">
        <f t="shared" si="7"/>
        <v>9223484.32</v>
      </c>
      <c r="Y26" s="19">
        <f t="shared" si="7"/>
        <v>92912869.5</v>
      </c>
      <c r="Z26" s="54">
        <f>Y26-D26</f>
        <v>-3060096.099999994</v>
      </c>
    </row>
    <row r="27" spans="1:26" ht="26.25" customHeight="1" hidden="1">
      <c r="A27" s="1"/>
      <c r="B27" s="17"/>
      <c r="C27" s="47" t="s">
        <v>66</v>
      </c>
      <c r="D27" s="48">
        <f aca="true" t="shared" si="8" ref="D27:D91">G27</f>
        <v>0</v>
      </c>
      <c r="E27" s="49"/>
      <c r="F27" s="48">
        <f aca="true" t="shared" si="9" ref="F27:F91">G27</f>
        <v>0</v>
      </c>
      <c r="G27" s="44">
        <f>80000-80000</f>
        <v>0</v>
      </c>
      <c r="H27" s="19"/>
      <c r="I27" s="36" t="e">
        <f aca="true" t="shared" si="10" ref="I27:I90">H27/D27*100</f>
        <v>#DIV/0!</v>
      </c>
      <c r="J27" s="56" t="e">
        <f>H27/(N27+O27+P27+Q27+R27+S27)*100</f>
        <v>#DIV/0!</v>
      </c>
      <c r="L27" s="64">
        <f aca="true" t="shared" si="11" ref="L27:L90">H27-(M27+N27+O27+P27+Q27+R27+S27+T27+U27+V27+W27)</f>
        <v>0</v>
      </c>
      <c r="M27" s="69"/>
      <c r="N27" s="69"/>
      <c r="O27" s="69"/>
      <c r="P27" s="69"/>
      <c r="Q27" s="69"/>
      <c r="R27" s="69"/>
      <c r="S27" s="69">
        <f>8000-8000</f>
        <v>0</v>
      </c>
      <c r="T27" s="69">
        <f>56000-56000</f>
        <v>0</v>
      </c>
      <c r="U27" s="69"/>
      <c r="V27" s="69">
        <f>16000-16000</f>
        <v>0</v>
      </c>
      <c r="W27" s="69"/>
      <c r="X27" s="69"/>
      <c r="Y27" s="19">
        <f aca="true" t="shared" si="12" ref="Y27:Y93">SUM(M27:X27)</f>
        <v>0</v>
      </c>
      <c r="Z27" s="54">
        <f aca="true" t="shared" si="13" ref="Z27:Z90">Y27-D27</f>
        <v>0</v>
      </c>
    </row>
    <row r="28" spans="1:26" ht="26.25" customHeight="1" hidden="1">
      <c r="A28" s="1"/>
      <c r="B28" s="17"/>
      <c r="C28" s="47" t="s">
        <v>67</v>
      </c>
      <c r="D28" s="48">
        <f t="shared" si="8"/>
        <v>0</v>
      </c>
      <c r="E28" s="49"/>
      <c r="F28" s="48">
        <f t="shared" si="9"/>
        <v>0</v>
      </c>
      <c r="G28" s="44">
        <f>140000-140000</f>
        <v>0</v>
      </c>
      <c r="H28" s="19"/>
      <c r="I28" s="36" t="e">
        <f t="shared" si="10"/>
        <v>#DIV/0!</v>
      </c>
      <c r="J28" s="56" t="e">
        <f>H28/(N28+O28+P28+Q28+R28+S28)*100</f>
        <v>#DIV/0!</v>
      </c>
      <c r="L28" s="64">
        <f t="shared" si="11"/>
        <v>0</v>
      </c>
      <c r="M28" s="69"/>
      <c r="N28" s="69"/>
      <c r="O28" s="69"/>
      <c r="P28" s="69"/>
      <c r="Q28" s="69"/>
      <c r="R28" s="69"/>
      <c r="S28" s="69">
        <f>14000-14000</f>
        <v>0</v>
      </c>
      <c r="T28" s="69">
        <f>98000-98000</f>
        <v>0</v>
      </c>
      <c r="U28" s="69"/>
      <c r="V28" s="69">
        <f>28000-28000</f>
        <v>0</v>
      </c>
      <c r="W28" s="69"/>
      <c r="X28" s="69"/>
      <c r="Y28" s="19">
        <f t="shared" si="12"/>
        <v>0</v>
      </c>
      <c r="Z28" s="54">
        <f t="shared" si="13"/>
        <v>0</v>
      </c>
    </row>
    <row r="29" spans="1:26" ht="26.25" customHeight="1" hidden="1">
      <c r="A29" s="1"/>
      <c r="B29" s="17"/>
      <c r="C29" s="47" t="s">
        <v>68</v>
      </c>
      <c r="D29" s="48">
        <f t="shared" si="8"/>
        <v>0</v>
      </c>
      <c r="E29" s="49"/>
      <c r="F29" s="48">
        <f t="shared" si="9"/>
        <v>0</v>
      </c>
      <c r="G29" s="44">
        <f>153400-153400</f>
        <v>0</v>
      </c>
      <c r="H29" s="19"/>
      <c r="I29" s="36" t="e">
        <f t="shared" si="10"/>
        <v>#DIV/0!</v>
      </c>
      <c r="J29" s="56" t="e">
        <f>H29/(N29+O29+P29+Q29+R29+S29+T29)*100</f>
        <v>#DIV/0!</v>
      </c>
      <c r="L29" s="64">
        <f t="shared" si="11"/>
        <v>0</v>
      </c>
      <c r="M29" s="69"/>
      <c r="N29" s="69"/>
      <c r="O29" s="69"/>
      <c r="P29" s="69"/>
      <c r="Q29" s="69"/>
      <c r="R29" s="69"/>
      <c r="S29" s="69">
        <v>15340</v>
      </c>
      <c r="T29" s="70">
        <f>107380-122720</f>
        <v>-15340</v>
      </c>
      <c r="U29" s="69"/>
      <c r="V29" s="69">
        <f>30680-30680</f>
        <v>0</v>
      </c>
      <c r="W29" s="69"/>
      <c r="X29" s="69"/>
      <c r="Y29" s="19">
        <f t="shared" si="12"/>
        <v>0</v>
      </c>
      <c r="Z29" s="54">
        <f t="shared" si="13"/>
        <v>0</v>
      </c>
    </row>
    <row r="30" spans="1:26" ht="26.25" customHeight="1" hidden="1">
      <c r="A30" s="1"/>
      <c r="B30" s="17"/>
      <c r="C30" s="47" t="s">
        <v>69</v>
      </c>
      <c r="D30" s="48">
        <f t="shared" si="8"/>
        <v>0</v>
      </c>
      <c r="E30" s="49"/>
      <c r="F30" s="48">
        <f t="shared" si="9"/>
        <v>0</v>
      </c>
      <c r="G30" s="44">
        <f>153400-153400</f>
        <v>0</v>
      </c>
      <c r="H30" s="19"/>
      <c r="I30" s="36" t="e">
        <f t="shared" si="10"/>
        <v>#DIV/0!</v>
      </c>
      <c r="J30" s="56" t="e">
        <f>H30/(N30+O30+P30+Q30+R30+S30+T30)*100</f>
        <v>#DIV/0!</v>
      </c>
      <c r="L30" s="64">
        <f t="shared" si="11"/>
        <v>0</v>
      </c>
      <c r="M30" s="69"/>
      <c r="N30" s="69"/>
      <c r="O30" s="69"/>
      <c r="P30" s="69"/>
      <c r="Q30" s="69"/>
      <c r="R30" s="69"/>
      <c r="S30" s="69">
        <v>15340</v>
      </c>
      <c r="T30" s="70">
        <f>107380-122720</f>
        <v>-15340</v>
      </c>
      <c r="U30" s="69"/>
      <c r="V30" s="69">
        <f>30680-30680</f>
        <v>0</v>
      </c>
      <c r="W30" s="69"/>
      <c r="X30" s="69"/>
      <c r="Y30" s="19">
        <f t="shared" si="12"/>
        <v>0</v>
      </c>
      <c r="Z30" s="54">
        <f t="shared" si="13"/>
        <v>0</v>
      </c>
    </row>
    <row r="31" spans="1:26" ht="26.25" customHeight="1">
      <c r="A31" s="1"/>
      <c r="B31" s="17"/>
      <c r="C31" s="47" t="s">
        <v>70</v>
      </c>
      <c r="D31" s="48">
        <f t="shared" si="8"/>
        <v>51000</v>
      </c>
      <c r="E31" s="49"/>
      <c r="F31" s="48">
        <f t="shared" si="9"/>
        <v>51000</v>
      </c>
      <c r="G31" s="44">
        <f>225700-174700</f>
        <v>51000</v>
      </c>
      <c r="H31" s="21">
        <f>51000</f>
        <v>51000</v>
      </c>
      <c r="I31" s="35">
        <f t="shared" si="10"/>
        <v>100</v>
      </c>
      <c r="J31" s="37">
        <f>H31/(N31+O31+P31+Q31+R31+S31+T31+U31+V31+W31)*100</f>
        <v>100</v>
      </c>
      <c r="L31" s="64">
        <f t="shared" si="11"/>
        <v>0</v>
      </c>
      <c r="M31" s="69"/>
      <c r="N31" s="69"/>
      <c r="O31" s="69"/>
      <c r="P31" s="69"/>
      <c r="Q31" s="69"/>
      <c r="R31" s="69"/>
      <c r="S31" s="69">
        <v>22570</v>
      </c>
      <c r="T31" s="70">
        <v>157990</v>
      </c>
      <c r="U31" s="69"/>
      <c r="V31" s="69">
        <v>45140</v>
      </c>
      <c r="W31" s="69">
        <v>-174700</v>
      </c>
      <c r="X31" s="69"/>
      <c r="Y31" s="19">
        <f t="shared" si="12"/>
        <v>51000</v>
      </c>
      <c r="Z31" s="54">
        <f t="shared" si="13"/>
        <v>0</v>
      </c>
    </row>
    <row r="32" spans="1:26" ht="26.25" customHeight="1">
      <c r="A32" s="1"/>
      <c r="B32" s="17"/>
      <c r="C32" s="47" t="s">
        <v>165</v>
      </c>
      <c r="D32" s="48">
        <f>G32</f>
        <v>853000</v>
      </c>
      <c r="E32" s="49"/>
      <c r="F32" s="48">
        <f>G32</f>
        <v>853000</v>
      </c>
      <c r="G32" s="44">
        <f>767000+86000</f>
        <v>853000</v>
      </c>
      <c r="H32" s="21">
        <f>42000</f>
        <v>42000</v>
      </c>
      <c r="I32" s="35">
        <f>H32/D32*100</f>
        <v>4.9237983587338805</v>
      </c>
      <c r="J32" s="37">
        <f aca="true" t="shared" si="14" ref="J32:J95">H32/(N32+O32+P32+Q32+R32+S32+T32+U32+V32+W32)*100</f>
        <v>4.9237983587338805</v>
      </c>
      <c r="L32" s="64">
        <f t="shared" si="11"/>
        <v>-811000</v>
      </c>
      <c r="M32" s="69"/>
      <c r="N32" s="69"/>
      <c r="O32" s="69"/>
      <c r="P32" s="69"/>
      <c r="Q32" s="69"/>
      <c r="R32" s="69"/>
      <c r="S32" s="69">
        <v>76700</v>
      </c>
      <c r="T32" s="70">
        <v>536900</v>
      </c>
      <c r="U32" s="69"/>
      <c r="V32" s="69">
        <v>153400</v>
      </c>
      <c r="W32" s="69">
        <f>86000</f>
        <v>86000</v>
      </c>
      <c r="X32" s="69"/>
      <c r="Y32" s="19">
        <f t="shared" si="12"/>
        <v>853000</v>
      </c>
      <c r="Z32" s="54">
        <f t="shared" si="13"/>
        <v>0</v>
      </c>
    </row>
    <row r="33" spans="1:26" ht="37.5" customHeight="1">
      <c r="A33" s="1"/>
      <c r="B33" s="17"/>
      <c r="C33" s="47" t="s">
        <v>71</v>
      </c>
      <c r="D33" s="48">
        <f t="shared" si="8"/>
        <v>839000</v>
      </c>
      <c r="E33" s="49"/>
      <c r="F33" s="48">
        <f t="shared" si="9"/>
        <v>839000</v>
      </c>
      <c r="G33" s="44">
        <f>600000+239000</f>
        <v>839000</v>
      </c>
      <c r="H33" s="21">
        <f>40054.63</f>
        <v>40054.63</v>
      </c>
      <c r="I33" s="35">
        <f t="shared" si="10"/>
        <v>4.7740917759237185</v>
      </c>
      <c r="J33" s="37">
        <f t="shared" si="14"/>
        <v>4.7740917759237185</v>
      </c>
      <c r="L33" s="64">
        <f>H33-(M33+N33+O33+P33+Q33+R33+S33+T33+U33+V33+W33)</f>
        <v>-798945.37</v>
      </c>
      <c r="M33" s="69"/>
      <c r="N33" s="69"/>
      <c r="O33" s="69"/>
      <c r="P33" s="69"/>
      <c r="Q33" s="69"/>
      <c r="R33" s="69"/>
      <c r="S33" s="69">
        <v>60000</v>
      </c>
      <c r="T33" s="70">
        <v>420000</v>
      </c>
      <c r="U33" s="69"/>
      <c r="V33" s="69">
        <v>120000</v>
      </c>
      <c r="W33" s="69">
        <f>239000</f>
        <v>239000</v>
      </c>
      <c r="X33" s="69"/>
      <c r="Y33" s="19">
        <f t="shared" si="12"/>
        <v>839000</v>
      </c>
      <c r="Z33" s="54">
        <f t="shared" si="13"/>
        <v>0</v>
      </c>
    </row>
    <row r="34" spans="1:26" ht="26.25" customHeight="1" hidden="1">
      <c r="A34" s="1"/>
      <c r="B34" s="17"/>
      <c r="C34" s="47" t="s">
        <v>72</v>
      </c>
      <c r="D34" s="48">
        <f t="shared" si="8"/>
        <v>0</v>
      </c>
      <c r="E34" s="49"/>
      <c r="F34" s="48">
        <f t="shared" si="9"/>
        <v>0</v>
      </c>
      <c r="G34" s="44">
        <f>100000-100000</f>
        <v>0</v>
      </c>
      <c r="H34" s="21"/>
      <c r="I34" s="36" t="e">
        <f t="shared" si="10"/>
        <v>#DIV/0!</v>
      </c>
      <c r="J34" s="37" t="e">
        <f t="shared" si="14"/>
        <v>#DIV/0!</v>
      </c>
      <c r="L34" s="64">
        <f t="shared" si="11"/>
        <v>0</v>
      </c>
      <c r="M34" s="69"/>
      <c r="N34" s="69"/>
      <c r="O34" s="69"/>
      <c r="P34" s="69"/>
      <c r="Q34" s="69"/>
      <c r="R34" s="69"/>
      <c r="S34" s="69">
        <f>10000-10000</f>
        <v>0</v>
      </c>
      <c r="T34" s="70">
        <f>70000-70000</f>
        <v>0</v>
      </c>
      <c r="U34" s="69"/>
      <c r="V34" s="69">
        <f>20000-20000</f>
        <v>0</v>
      </c>
      <c r="W34" s="69"/>
      <c r="X34" s="69"/>
      <c r="Y34" s="19">
        <f t="shared" si="12"/>
        <v>0</v>
      </c>
      <c r="Z34" s="54">
        <f t="shared" si="13"/>
        <v>0</v>
      </c>
    </row>
    <row r="35" spans="1:26" ht="26.25" customHeight="1">
      <c r="A35" s="1"/>
      <c r="B35" s="17"/>
      <c r="C35" s="47" t="s">
        <v>153</v>
      </c>
      <c r="D35" s="48">
        <f t="shared" si="8"/>
        <v>620000</v>
      </c>
      <c r="E35" s="49"/>
      <c r="F35" s="48">
        <f t="shared" si="9"/>
        <v>620000</v>
      </c>
      <c r="G35" s="44">
        <v>620000</v>
      </c>
      <c r="H35" s="21"/>
      <c r="I35" s="36">
        <f t="shared" si="10"/>
        <v>0</v>
      </c>
      <c r="J35" s="37">
        <f t="shared" si="14"/>
        <v>0</v>
      </c>
      <c r="L35" s="64">
        <f t="shared" si="11"/>
        <v>-620000</v>
      </c>
      <c r="M35" s="69"/>
      <c r="N35" s="69"/>
      <c r="O35" s="69"/>
      <c r="P35" s="69"/>
      <c r="Q35" s="69"/>
      <c r="R35" s="69"/>
      <c r="S35" s="69">
        <v>62000</v>
      </c>
      <c r="T35" s="70">
        <f>434000-496000</f>
        <v>-62000</v>
      </c>
      <c r="U35" s="69"/>
      <c r="V35" s="57">
        <f>124000+496000-406942.49</f>
        <v>213057.51</v>
      </c>
      <c r="W35" s="57">
        <v>406942.49</v>
      </c>
      <c r="X35" s="69"/>
      <c r="Y35" s="19">
        <f t="shared" si="12"/>
        <v>620000</v>
      </c>
      <c r="Z35" s="54">
        <f t="shared" si="13"/>
        <v>0</v>
      </c>
    </row>
    <row r="36" spans="1:26" ht="26.25" customHeight="1" hidden="1">
      <c r="A36" s="1"/>
      <c r="B36" s="17"/>
      <c r="C36" s="47" t="s">
        <v>73</v>
      </c>
      <c r="D36" s="48">
        <f t="shared" si="8"/>
        <v>0</v>
      </c>
      <c r="E36" s="49"/>
      <c r="F36" s="48">
        <f t="shared" si="9"/>
        <v>0</v>
      </c>
      <c r="G36" s="44">
        <f>80000-80000</f>
        <v>0</v>
      </c>
      <c r="H36" s="21"/>
      <c r="I36" s="36" t="e">
        <f t="shared" si="10"/>
        <v>#DIV/0!</v>
      </c>
      <c r="J36" s="37" t="e">
        <f t="shared" si="14"/>
        <v>#DIV/0!</v>
      </c>
      <c r="L36" s="64">
        <f t="shared" si="11"/>
        <v>0</v>
      </c>
      <c r="M36" s="69"/>
      <c r="N36" s="69"/>
      <c r="O36" s="69"/>
      <c r="P36" s="69"/>
      <c r="Q36" s="69"/>
      <c r="R36" s="69"/>
      <c r="S36" s="69">
        <f>8000-8000</f>
        <v>0</v>
      </c>
      <c r="T36" s="70">
        <f>56000-56000</f>
        <v>0</v>
      </c>
      <c r="U36" s="69"/>
      <c r="V36" s="69">
        <f>16000-16000</f>
        <v>0</v>
      </c>
      <c r="W36" s="69"/>
      <c r="X36" s="69"/>
      <c r="Y36" s="19">
        <f t="shared" si="12"/>
        <v>0</v>
      </c>
      <c r="Z36" s="54">
        <f t="shared" si="13"/>
        <v>0</v>
      </c>
    </row>
    <row r="37" spans="1:26" ht="26.25" customHeight="1">
      <c r="A37" s="1"/>
      <c r="B37" s="17"/>
      <c r="C37" s="47" t="s">
        <v>187</v>
      </c>
      <c r="D37" s="48">
        <f t="shared" si="8"/>
        <v>60000</v>
      </c>
      <c r="E37" s="49"/>
      <c r="F37" s="48">
        <f t="shared" si="9"/>
        <v>60000</v>
      </c>
      <c r="G37" s="44">
        <f>200000-140000</f>
        <v>60000</v>
      </c>
      <c r="H37" s="21">
        <f>59862.98</f>
        <v>59862.98</v>
      </c>
      <c r="I37" s="35">
        <f t="shared" si="10"/>
        <v>99.77163333333334</v>
      </c>
      <c r="J37" s="37">
        <f t="shared" si="14"/>
        <v>29.93149</v>
      </c>
      <c r="L37" s="64">
        <f t="shared" si="11"/>
        <v>-140137.02</v>
      </c>
      <c r="M37" s="69"/>
      <c r="N37" s="69"/>
      <c r="O37" s="69"/>
      <c r="P37" s="69"/>
      <c r="Q37" s="69"/>
      <c r="R37" s="69"/>
      <c r="S37" s="69">
        <v>20000</v>
      </c>
      <c r="T37" s="70">
        <v>140000</v>
      </c>
      <c r="U37" s="69"/>
      <c r="V37" s="69">
        <v>40000</v>
      </c>
      <c r="W37" s="69"/>
      <c r="X37" s="69"/>
      <c r="Y37" s="19">
        <f t="shared" si="12"/>
        <v>200000</v>
      </c>
      <c r="Z37" s="54">
        <f t="shared" si="13"/>
        <v>140000</v>
      </c>
    </row>
    <row r="38" spans="1:26" ht="26.25" customHeight="1">
      <c r="A38" s="1"/>
      <c r="B38" s="17"/>
      <c r="C38" s="47" t="s">
        <v>188</v>
      </c>
      <c r="D38" s="48">
        <f t="shared" si="8"/>
        <v>40000</v>
      </c>
      <c r="E38" s="49"/>
      <c r="F38" s="48">
        <f t="shared" si="9"/>
        <v>40000</v>
      </c>
      <c r="G38" s="44">
        <f>100000-60000</f>
        <v>40000</v>
      </c>
      <c r="H38" s="21">
        <f>39362.74</f>
        <v>39362.74</v>
      </c>
      <c r="I38" s="35">
        <f t="shared" si="10"/>
        <v>98.40684999999999</v>
      </c>
      <c r="J38" s="37">
        <f t="shared" si="14"/>
        <v>39.362739999999995</v>
      </c>
      <c r="L38" s="64">
        <f t="shared" si="11"/>
        <v>-60637.26</v>
      </c>
      <c r="M38" s="69"/>
      <c r="N38" s="69"/>
      <c r="O38" s="69"/>
      <c r="P38" s="69"/>
      <c r="Q38" s="69"/>
      <c r="R38" s="69"/>
      <c r="S38" s="69">
        <v>10000</v>
      </c>
      <c r="T38" s="70">
        <v>70000</v>
      </c>
      <c r="U38" s="69"/>
      <c r="V38" s="69">
        <v>20000</v>
      </c>
      <c r="W38" s="69"/>
      <c r="X38" s="69"/>
      <c r="Y38" s="19">
        <f t="shared" si="12"/>
        <v>100000</v>
      </c>
      <c r="Z38" s="54">
        <f t="shared" si="13"/>
        <v>60000</v>
      </c>
    </row>
    <row r="39" spans="1:26" ht="26.25" customHeight="1">
      <c r="A39" s="1"/>
      <c r="B39" s="17"/>
      <c r="C39" s="47" t="s">
        <v>159</v>
      </c>
      <c r="D39" s="48">
        <f t="shared" si="8"/>
        <v>817000</v>
      </c>
      <c r="E39" s="49"/>
      <c r="F39" s="48">
        <f t="shared" si="9"/>
        <v>817000</v>
      </c>
      <c r="G39" s="44">
        <f>225600+591400</f>
        <v>817000</v>
      </c>
      <c r="H39" s="21">
        <f>44000</f>
        <v>44000</v>
      </c>
      <c r="I39" s="35">
        <f>H39/D39*100</f>
        <v>5.385556915544676</v>
      </c>
      <c r="J39" s="37">
        <f t="shared" si="14"/>
        <v>5.385556915544676</v>
      </c>
      <c r="L39" s="64">
        <f t="shared" si="11"/>
        <v>-773000</v>
      </c>
      <c r="M39" s="69"/>
      <c r="N39" s="69"/>
      <c r="O39" s="69"/>
      <c r="P39" s="69"/>
      <c r="Q39" s="69"/>
      <c r="R39" s="69"/>
      <c r="S39" s="69">
        <v>22560</v>
      </c>
      <c r="T39" s="70">
        <v>157920</v>
      </c>
      <c r="U39" s="69"/>
      <c r="V39" s="69">
        <v>45120</v>
      </c>
      <c r="W39" s="69">
        <f>591400</f>
        <v>591400</v>
      </c>
      <c r="X39" s="69"/>
      <c r="Y39" s="19">
        <f t="shared" si="12"/>
        <v>817000</v>
      </c>
      <c r="Z39" s="54">
        <f t="shared" si="13"/>
        <v>0</v>
      </c>
    </row>
    <row r="40" spans="1:26" ht="26.25" customHeight="1" hidden="1">
      <c r="A40" s="1"/>
      <c r="B40" s="17"/>
      <c r="C40" s="47" t="s">
        <v>141</v>
      </c>
      <c r="D40" s="48">
        <f t="shared" si="8"/>
        <v>0</v>
      </c>
      <c r="E40" s="49"/>
      <c r="F40" s="48">
        <f t="shared" si="9"/>
        <v>0</v>
      </c>
      <c r="G40" s="44">
        <f>117000-117000</f>
        <v>0</v>
      </c>
      <c r="H40" s="21"/>
      <c r="I40" s="36" t="e">
        <f>H40/D40*100</f>
        <v>#DIV/0!</v>
      </c>
      <c r="J40" s="37" t="e">
        <f t="shared" si="14"/>
        <v>#DIV/0!</v>
      </c>
      <c r="L40" s="64">
        <f t="shared" si="11"/>
        <v>0</v>
      </c>
      <c r="M40" s="69"/>
      <c r="N40" s="69"/>
      <c r="O40" s="69"/>
      <c r="P40" s="69"/>
      <c r="Q40" s="69"/>
      <c r="R40" s="69"/>
      <c r="S40" s="69">
        <f>11700-11700</f>
        <v>0</v>
      </c>
      <c r="T40" s="70">
        <f>81900-81900</f>
        <v>0</v>
      </c>
      <c r="U40" s="69"/>
      <c r="V40" s="69">
        <f>23400-23400</f>
        <v>0</v>
      </c>
      <c r="W40" s="69"/>
      <c r="X40" s="69"/>
      <c r="Y40" s="19">
        <f t="shared" si="12"/>
        <v>0</v>
      </c>
      <c r="Z40" s="54">
        <f t="shared" si="13"/>
        <v>0</v>
      </c>
    </row>
    <row r="41" spans="1:26" ht="42.75" customHeight="1">
      <c r="A41" s="1"/>
      <c r="B41" s="17"/>
      <c r="C41" s="47" t="s">
        <v>189</v>
      </c>
      <c r="D41" s="48">
        <f t="shared" si="8"/>
        <v>290000</v>
      </c>
      <c r="E41" s="49"/>
      <c r="F41" s="48">
        <f t="shared" si="9"/>
        <v>290000</v>
      </c>
      <c r="G41" s="44">
        <f>200000+90000</f>
        <v>290000</v>
      </c>
      <c r="H41" s="21">
        <f>9451.41</f>
        <v>9451.41</v>
      </c>
      <c r="I41" s="35">
        <f>H41/D41*100</f>
        <v>3.2591068965517245</v>
      </c>
      <c r="J41" s="37">
        <f t="shared" si="14"/>
        <v>3.2591068965517245</v>
      </c>
      <c r="L41" s="64">
        <f t="shared" si="11"/>
        <v>-280548.59</v>
      </c>
      <c r="M41" s="69"/>
      <c r="N41" s="69"/>
      <c r="O41" s="69"/>
      <c r="P41" s="69"/>
      <c r="Q41" s="69"/>
      <c r="R41" s="69"/>
      <c r="S41" s="69">
        <v>20000</v>
      </c>
      <c r="T41" s="70">
        <v>140000</v>
      </c>
      <c r="U41" s="69"/>
      <c r="V41" s="69">
        <v>40000</v>
      </c>
      <c r="W41" s="69">
        <f>90000</f>
        <v>90000</v>
      </c>
      <c r="X41" s="69"/>
      <c r="Y41" s="19">
        <f>SUM(M41:X41)</f>
        <v>290000</v>
      </c>
      <c r="Z41" s="54">
        <f>Y41-D41</f>
        <v>0</v>
      </c>
    </row>
    <row r="42" spans="1:26" ht="26.25" customHeight="1">
      <c r="A42" s="1"/>
      <c r="B42" s="17"/>
      <c r="C42" s="47" t="s">
        <v>190</v>
      </c>
      <c r="D42" s="48">
        <f t="shared" si="8"/>
        <v>159000</v>
      </c>
      <c r="E42" s="49"/>
      <c r="F42" s="48">
        <f t="shared" si="9"/>
        <v>159000</v>
      </c>
      <c r="G42" s="44">
        <f>100000+59000</f>
        <v>159000</v>
      </c>
      <c r="H42" s="21">
        <f>14533.46</f>
        <v>14533.46</v>
      </c>
      <c r="I42" s="35">
        <f>H42/D42*100</f>
        <v>9.140540880503144</v>
      </c>
      <c r="J42" s="37">
        <f t="shared" si="14"/>
        <v>9.140540880503144</v>
      </c>
      <c r="L42" s="64">
        <f t="shared" si="11"/>
        <v>-144466.54</v>
      </c>
      <c r="M42" s="69"/>
      <c r="N42" s="69"/>
      <c r="O42" s="69"/>
      <c r="P42" s="69"/>
      <c r="Q42" s="69"/>
      <c r="R42" s="69"/>
      <c r="S42" s="69">
        <v>10000</v>
      </c>
      <c r="T42" s="70">
        <v>70000</v>
      </c>
      <c r="U42" s="69"/>
      <c r="V42" s="69">
        <v>20000</v>
      </c>
      <c r="W42" s="69">
        <v>59000</v>
      </c>
      <c r="X42" s="69"/>
      <c r="Y42" s="19">
        <f>SUM(M42:X42)</f>
        <v>159000</v>
      </c>
      <c r="Z42" s="54">
        <f>Y42-D42</f>
        <v>0</v>
      </c>
    </row>
    <row r="43" spans="1:26" ht="26.25" customHeight="1">
      <c r="A43" s="1"/>
      <c r="B43" s="17"/>
      <c r="C43" s="47" t="s">
        <v>191</v>
      </c>
      <c r="D43" s="48">
        <f t="shared" si="8"/>
        <v>468000</v>
      </c>
      <c r="E43" s="49"/>
      <c r="F43" s="48">
        <f t="shared" si="9"/>
        <v>468000</v>
      </c>
      <c r="G43" s="44">
        <f>100000+368000</f>
        <v>468000</v>
      </c>
      <c r="H43" s="21">
        <f>18769.47</f>
        <v>18769.47</v>
      </c>
      <c r="I43" s="35">
        <f>H43/D43*100</f>
        <v>4.010570512820514</v>
      </c>
      <c r="J43" s="37">
        <f t="shared" si="14"/>
        <v>4.010570512820514</v>
      </c>
      <c r="L43" s="64">
        <f t="shared" si="11"/>
        <v>-449230.53</v>
      </c>
      <c r="M43" s="69"/>
      <c r="N43" s="69"/>
      <c r="O43" s="69"/>
      <c r="P43" s="69"/>
      <c r="Q43" s="69"/>
      <c r="R43" s="69"/>
      <c r="S43" s="69">
        <v>10000</v>
      </c>
      <c r="T43" s="70">
        <v>70000</v>
      </c>
      <c r="U43" s="69"/>
      <c r="V43" s="69">
        <v>20000</v>
      </c>
      <c r="W43" s="69">
        <f>368000</f>
        <v>368000</v>
      </c>
      <c r="X43" s="69"/>
      <c r="Y43" s="19">
        <f>SUM(M43:X43)</f>
        <v>468000</v>
      </c>
      <c r="Z43" s="54">
        <f>Y43-D43</f>
        <v>0</v>
      </c>
    </row>
    <row r="44" spans="1:26" ht="38.25" customHeight="1">
      <c r="A44" s="1"/>
      <c r="B44" s="17"/>
      <c r="C44" s="47" t="s">
        <v>147</v>
      </c>
      <c r="D44" s="48">
        <f t="shared" si="8"/>
        <v>320000</v>
      </c>
      <c r="E44" s="49"/>
      <c r="F44" s="48">
        <f t="shared" si="9"/>
        <v>320000</v>
      </c>
      <c r="G44" s="44">
        <f>50000+117000+153000</f>
        <v>320000</v>
      </c>
      <c r="H44" s="21">
        <f>19000+99000</f>
        <v>118000</v>
      </c>
      <c r="I44" s="35">
        <f t="shared" si="10"/>
        <v>36.875</v>
      </c>
      <c r="J44" s="37">
        <f t="shared" si="14"/>
        <v>70.65868263473054</v>
      </c>
      <c r="L44" s="64">
        <f t="shared" si="11"/>
        <v>-49000</v>
      </c>
      <c r="M44" s="69"/>
      <c r="N44" s="69"/>
      <c r="O44" s="69"/>
      <c r="P44" s="69"/>
      <c r="Q44" s="69"/>
      <c r="R44" s="69"/>
      <c r="S44" s="57">
        <v>5000</v>
      </c>
      <c r="T44" s="59">
        <v>35000</v>
      </c>
      <c r="U44" s="57">
        <f>117000</f>
        <v>117000</v>
      </c>
      <c r="V44" s="57">
        <v>10000</v>
      </c>
      <c r="W44" s="57"/>
      <c r="X44" s="57"/>
      <c r="Y44" s="19">
        <f t="shared" si="12"/>
        <v>167000</v>
      </c>
      <c r="Z44" s="54">
        <f t="shared" si="13"/>
        <v>-153000</v>
      </c>
    </row>
    <row r="45" spans="1:26" ht="26.25" customHeight="1">
      <c r="A45" s="1"/>
      <c r="B45" s="17"/>
      <c r="C45" s="47" t="s">
        <v>198</v>
      </c>
      <c r="D45" s="48">
        <f>G45</f>
        <v>60000</v>
      </c>
      <c r="E45" s="49"/>
      <c r="F45" s="48">
        <f>G45</f>
        <v>60000</v>
      </c>
      <c r="G45" s="44">
        <f>100000-40000</f>
        <v>60000</v>
      </c>
      <c r="H45" s="21"/>
      <c r="I45" s="36">
        <f>H45/D45*100</f>
        <v>0</v>
      </c>
      <c r="J45" s="37">
        <f t="shared" si="14"/>
        <v>0</v>
      </c>
      <c r="L45" s="64">
        <f t="shared" si="11"/>
        <v>-100000</v>
      </c>
      <c r="M45" s="69"/>
      <c r="N45" s="69"/>
      <c r="O45" s="69"/>
      <c r="P45" s="69"/>
      <c r="Q45" s="69"/>
      <c r="R45" s="69"/>
      <c r="S45" s="69">
        <v>10000</v>
      </c>
      <c r="T45" s="70">
        <v>70000</v>
      </c>
      <c r="U45" s="69"/>
      <c r="V45" s="69">
        <v>20000</v>
      </c>
      <c r="W45" s="69"/>
      <c r="X45" s="69"/>
      <c r="Y45" s="19">
        <f>SUM(M45:X45)</f>
        <v>100000</v>
      </c>
      <c r="Z45" s="54">
        <f>Y45-D45</f>
        <v>40000</v>
      </c>
    </row>
    <row r="46" spans="1:26" ht="26.25" customHeight="1">
      <c r="A46" s="1"/>
      <c r="B46" s="17"/>
      <c r="C46" s="47" t="s">
        <v>192</v>
      </c>
      <c r="D46" s="48">
        <f t="shared" si="8"/>
        <v>40000</v>
      </c>
      <c r="E46" s="49"/>
      <c r="F46" s="48">
        <f t="shared" si="9"/>
        <v>40000</v>
      </c>
      <c r="G46" s="44">
        <f>153400+306800-420200</f>
        <v>40000</v>
      </c>
      <c r="H46" s="21">
        <f>39749.1</f>
        <v>39749.1</v>
      </c>
      <c r="I46" s="35">
        <f t="shared" si="10"/>
        <v>99.37275</v>
      </c>
      <c r="J46" s="37">
        <f t="shared" si="14"/>
        <v>8.63735332464146</v>
      </c>
      <c r="L46" s="64">
        <f t="shared" si="11"/>
        <v>-420450.9</v>
      </c>
      <c r="M46" s="69"/>
      <c r="N46" s="69"/>
      <c r="O46" s="69"/>
      <c r="P46" s="69"/>
      <c r="Q46" s="69"/>
      <c r="R46" s="69"/>
      <c r="S46" s="69">
        <v>15340</v>
      </c>
      <c r="T46" s="70">
        <f>107380+245440</f>
        <v>352820</v>
      </c>
      <c r="U46" s="69"/>
      <c r="V46" s="69">
        <f>30680+61360</f>
        <v>92040</v>
      </c>
      <c r="W46" s="69"/>
      <c r="X46" s="69"/>
      <c r="Y46" s="19">
        <f t="shared" si="12"/>
        <v>460200</v>
      </c>
      <c r="Z46" s="54">
        <f t="shared" si="13"/>
        <v>420200</v>
      </c>
    </row>
    <row r="47" spans="1:26" ht="26.25" customHeight="1" hidden="1">
      <c r="A47" s="1"/>
      <c r="B47" s="17"/>
      <c r="C47" s="47" t="s">
        <v>74</v>
      </c>
      <c r="D47" s="48">
        <f t="shared" si="8"/>
        <v>0</v>
      </c>
      <c r="E47" s="49"/>
      <c r="F47" s="48">
        <f t="shared" si="9"/>
        <v>0</v>
      </c>
      <c r="G47" s="44">
        <f>153400-153400</f>
        <v>0</v>
      </c>
      <c r="H47" s="21"/>
      <c r="I47" s="36" t="e">
        <f t="shared" si="10"/>
        <v>#DIV/0!</v>
      </c>
      <c r="J47" s="37" t="e">
        <f t="shared" si="14"/>
        <v>#DIV/0!</v>
      </c>
      <c r="L47" s="64">
        <f t="shared" si="11"/>
        <v>0</v>
      </c>
      <c r="M47" s="69"/>
      <c r="N47" s="69"/>
      <c r="O47" s="69"/>
      <c r="P47" s="69"/>
      <c r="Q47" s="69"/>
      <c r="R47" s="69"/>
      <c r="S47" s="69">
        <v>15340</v>
      </c>
      <c r="T47" s="70">
        <f>107380-122720</f>
        <v>-15340</v>
      </c>
      <c r="U47" s="69"/>
      <c r="V47" s="69">
        <f>30680-30680</f>
        <v>0</v>
      </c>
      <c r="W47" s="69"/>
      <c r="X47" s="69"/>
      <c r="Y47" s="19">
        <f t="shared" si="12"/>
        <v>0</v>
      </c>
      <c r="Z47" s="54">
        <f t="shared" si="13"/>
        <v>0</v>
      </c>
    </row>
    <row r="48" spans="1:26" ht="26.25" customHeight="1">
      <c r="A48" s="1"/>
      <c r="B48" s="17"/>
      <c r="C48" s="47" t="s">
        <v>193</v>
      </c>
      <c r="D48" s="48">
        <f t="shared" si="8"/>
        <v>583000</v>
      </c>
      <c r="E48" s="49"/>
      <c r="F48" s="48">
        <f t="shared" si="9"/>
        <v>583000</v>
      </c>
      <c r="G48" s="44">
        <f>153400+153400+276200</f>
        <v>583000</v>
      </c>
      <c r="H48" s="21">
        <f>17865.84</f>
        <v>17865.84</v>
      </c>
      <c r="I48" s="35">
        <f t="shared" si="10"/>
        <v>3.0644665523156087</v>
      </c>
      <c r="J48" s="37">
        <f t="shared" si="14"/>
        <v>5.82328552803129</v>
      </c>
      <c r="L48" s="64">
        <f t="shared" si="11"/>
        <v>-288934.16</v>
      </c>
      <c r="M48" s="69"/>
      <c r="N48" s="69"/>
      <c r="O48" s="69"/>
      <c r="P48" s="69"/>
      <c r="Q48" s="69"/>
      <c r="R48" s="69"/>
      <c r="S48" s="69">
        <v>15340</v>
      </c>
      <c r="T48" s="70">
        <f>107380+122720</f>
        <v>230100</v>
      </c>
      <c r="U48" s="69"/>
      <c r="V48" s="69">
        <f>30680+30680</f>
        <v>61360</v>
      </c>
      <c r="W48" s="69"/>
      <c r="X48" s="69"/>
      <c r="Y48" s="19">
        <f t="shared" si="12"/>
        <v>306800</v>
      </c>
      <c r="Z48" s="54">
        <f t="shared" si="13"/>
        <v>-276200</v>
      </c>
    </row>
    <row r="49" spans="1:26" ht="43.5" customHeight="1">
      <c r="A49" s="1"/>
      <c r="B49" s="17"/>
      <c r="C49" s="47" t="s">
        <v>75</v>
      </c>
      <c r="D49" s="48">
        <f t="shared" si="8"/>
        <v>560000</v>
      </c>
      <c r="E49" s="49"/>
      <c r="F49" s="48">
        <f t="shared" si="9"/>
        <v>560000</v>
      </c>
      <c r="G49" s="44">
        <v>560000</v>
      </c>
      <c r="H49" s="21">
        <f>37000</f>
        <v>37000</v>
      </c>
      <c r="I49" s="35">
        <f t="shared" si="10"/>
        <v>6.607142857142858</v>
      </c>
      <c r="J49" s="37">
        <f t="shared" si="14"/>
        <v>6.607142857142858</v>
      </c>
      <c r="L49" s="64">
        <f t="shared" si="11"/>
        <v>-523000</v>
      </c>
      <c r="M49" s="69"/>
      <c r="N49" s="69"/>
      <c r="O49" s="69"/>
      <c r="P49" s="69"/>
      <c r="Q49" s="69"/>
      <c r="R49" s="69"/>
      <c r="S49" s="69">
        <v>56000</v>
      </c>
      <c r="T49" s="70">
        <v>392000</v>
      </c>
      <c r="U49" s="69"/>
      <c r="V49" s="69">
        <v>112000</v>
      </c>
      <c r="W49" s="69"/>
      <c r="X49" s="69"/>
      <c r="Y49" s="19">
        <f t="shared" si="12"/>
        <v>560000</v>
      </c>
      <c r="Z49" s="54">
        <f t="shared" si="13"/>
        <v>0</v>
      </c>
    </row>
    <row r="50" spans="1:26" ht="26.25" customHeight="1">
      <c r="A50" s="1"/>
      <c r="B50" s="17"/>
      <c r="C50" s="47" t="s">
        <v>76</v>
      </c>
      <c r="D50" s="48">
        <f t="shared" si="8"/>
        <v>1534000</v>
      </c>
      <c r="E50" s="49"/>
      <c r="F50" s="48">
        <f t="shared" si="9"/>
        <v>1534000</v>
      </c>
      <c r="G50" s="44">
        <v>1534000</v>
      </c>
      <c r="H50" s="21">
        <f>21450.2+1000000+433862+21110</f>
        <v>1476422.2</v>
      </c>
      <c r="I50" s="35">
        <f t="shared" si="10"/>
        <v>96.24655801825293</v>
      </c>
      <c r="J50" s="37">
        <f t="shared" si="14"/>
        <v>96.24655801825293</v>
      </c>
      <c r="L50" s="64">
        <f t="shared" si="11"/>
        <v>-57577.80000000005</v>
      </c>
      <c r="M50" s="69"/>
      <c r="N50" s="69"/>
      <c r="O50" s="69"/>
      <c r="P50" s="69"/>
      <c r="Q50" s="69"/>
      <c r="R50" s="69"/>
      <c r="S50" s="69">
        <v>153400</v>
      </c>
      <c r="T50" s="70">
        <f>1073800-4000</f>
        <v>1069800</v>
      </c>
      <c r="U50" s="69">
        <f>310800</f>
        <v>310800</v>
      </c>
      <c r="V50" s="69">
        <f>306800+4000-310800</f>
        <v>0</v>
      </c>
      <c r="W50" s="69"/>
      <c r="X50" s="69"/>
      <c r="Y50" s="19">
        <f t="shared" si="12"/>
        <v>1534000</v>
      </c>
      <c r="Z50" s="54">
        <f t="shared" si="13"/>
        <v>0</v>
      </c>
    </row>
    <row r="51" spans="1:26" ht="26.25" customHeight="1" hidden="1">
      <c r="A51" s="1"/>
      <c r="B51" s="17"/>
      <c r="C51" s="47" t="s">
        <v>77</v>
      </c>
      <c r="D51" s="48">
        <f t="shared" si="8"/>
        <v>0</v>
      </c>
      <c r="E51" s="49"/>
      <c r="F51" s="48">
        <f t="shared" si="9"/>
        <v>0</v>
      </c>
      <c r="G51" s="44">
        <f>100000-100000</f>
        <v>0</v>
      </c>
      <c r="H51" s="21"/>
      <c r="I51" s="36" t="e">
        <f t="shared" si="10"/>
        <v>#DIV/0!</v>
      </c>
      <c r="J51" s="37" t="e">
        <f t="shared" si="14"/>
        <v>#DIV/0!</v>
      </c>
      <c r="L51" s="64">
        <f t="shared" si="11"/>
        <v>0</v>
      </c>
      <c r="M51" s="69"/>
      <c r="N51" s="69"/>
      <c r="O51" s="69"/>
      <c r="P51" s="69"/>
      <c r="Q51" s="69"/>
      <c r="R51" s="69"/>
      <c r="S51" s="69">
        <v>10000</v>
      </c>
      <c r="T51" s="70">
        <v>70000</v>
      </c>
      <c r="U51" s="69"/>
      <c r="V51" s="69">
        <v>20000</v>
      </c>
      <c r="W51" s="69">
        <v>-100000</v>
      </c>
      <c r="X51" s="69"/>
      <c r="Y51" s="19">
        <f t="shared" si="12"/>
        <v>0</v>
      </c>
      <c r="Z51" s="54">
        <f t="shared" si="13"/>
        <v>0</v>
      </c>
    </row>
    <row r="52" spans="1:26" ht="26.25" customHeight="1" hidden="1">
      <c r="A52" s="1"/>
      <c r="B52" s="17"/>
      <c r="C52" s="47" t="s">
        <v>78</v>
      </c>
      <c r="D52" s="48">
        <f t="shared" si="8"/>
        <v>0</v>
      </c>
      <c r="E52" s="49"/>
      <c r="F52" s="48">
        <f t="shared" si="9"/>
        <v>0</v>
      </c>
      <c r="G52" s="44">
        <f>225700-225700</f>
        <v>0</v>
      </c>
      <c r="H52" s="21"/>
      <c r="I52" s="36" t="e">
        <f t="shared" si="10"/>
        <v>#DIV/0!</v>
      </c>
      <c r="J52" s="37" t="e">
        <f t="shared" si="14"/>
        <v>#DIV/0!</v>
      </c>
      <c r="L52" s="64">
        <f t="shared" si="11"/>
        <v>0</v>
      </c>
      <c r="M52" s="69"/>
      <c r="N52" s="69"/>
      <c r="O52" s="69"/>
      <c r="P52" s="69"/>
      <c r="Q52" s="69"/>
      <c r="R52" s="69"/>
      <c r="S52" s="69">
        <v>22570</v>
      </c>
      <c r="T52" s="70">
        <v>157990</v>
      </c>
      <c r="U52" s="69"/>
      <c r="V52" s="69">
        <f>45140-225700</f>
        <v>-180560</v>
      </c>
      <c r="W52" s="69"/>
      <c r="X52" s="69"/>
      <c r="Y52" s="19">
        <f t="shared" si="12"/>
        <v>0</v>
      </c>
      <c r="Z52" s="54">
        <f t="shared" si="13"/>
        <v>0</v>
      </c>
    </row>
    <row r="53" spans="1:26" ht="26.25" customHeight="1" hidden="1">
      <c r="A53" s="1"/>
      <c r="B53" s="17"/>
      <c r="C53" s="47" t="s">
        <v>79</v>
      </c>
      <c r="D53" s="48">
        <f t="shared" si="8"/>
        <v>0</v>
      </c>
      <c r="E53" s="49"/>
      <c r="F53" s="48">
        <f t="shared" si="9"/>
        <v>0</v>
      </c>
      <c r="G53" s="44">
        <f>100000-50000-50000</f>
        <v>0</v>
      </c>
      <c r="H53" s="21"/>
      <c r="I53" s="36" t="e">
        <f t="shared" si="10"/>
        <v>#DIV/0!</v>
      </c>
      <c r="J53" s="37" t="e">
        <f t="shared" si="14"/>
        <v>#DIV/0!</v>
      </c>
      <c r="L53" s="64">
        <f t="shared" si="11"/>
        <v>0</v>
      </c>
      <c r="M53" s="69"/>
      <c r="N53" s="69"/>
      <c r="O53" s="69"/>
      <c r="P53" s="69"/>
      <c r="Q53" s="69"/>
      <c r="R53" s="69"/>
      <c r="S53" s="69">
        <f>5000-5000</f>
        <v>0</v>
      </c>
      <c r="T53" s="70">
        <f>35000-35000</f>
        <v>0</v>
      </c>
      <c r="U53" s="69"/>
      <c r="V53" s="69">
        <f>10000-10000</f>
        <v>0</v>
      </c>
      <c r="W53" s="69"/>
      <c r="X53" s="69"/>
      <c r="Y53" s="19">
        <f t="shared" si="12"/>
        <v>0</v>
      </c>
      <c r="Z53" s="54">
        <f t="shared" si="13"/>
        <v>0</v>
      </c>
    </row>
    <row r="54" spans="1:26" ht="26.25" customHeight="1" hidden="1">
      <c r="A54" s="1"/>
      <c r="B54" s="17"/>
      <c r="C54" s="47" t="s">
        <v>80</v>
      </c>
      <c r="D54" s="48">
        <f t="shared" si="8"/>
        <v>0</v>
      </c>
      <c r="E54" s="49"/>
      <c r="F54" s="48">
        <f t="shared" si="9"/>
        <v>0</v>
      </c>
      <c r="G54" s="44">
        <f>200000-200000</f>
        <v>0</v>
      </c>
      <c r="H54" s="21"/>
      <c r="I54" s="36" t="e">
        <f t="shared" si="10"/>
        <v>#DIV/0!</v>
      </c>
      <c r="J54" s="37" t="e">
        <f t="shared" si="14"/>
        <v>#DIV/0!</v>
      </c>
      <c r="L54" s="64">
        <f t="shared" si="11"/>
        <v>0</v>
      </c>
      <c r="M54" s="69"/>
      <c r="N54" s="69"/>
      <c r="O54" s="69"/>
      <c r="P54" s="69"/>
      <c r="Q54" s="69"/>
      <c r="R54" s="69"/>
      <c r="S54" s="69">
        <v>20000</v>
      </c>
      <c r="T54" s="70">
        <v>140000</v>
      </c>
      <c r="U54" s="69"/>
      <c r="V54" s="69">
        <v>40000</v>
      </c>
      <c r="W54" s="69">
        <v>-200000</v>
      </c>
      <c r="X54" s="69"/>
      <c r="Y54" s="19">
        <f t="shared" si="12"/>
        <v>0</v>
      </c>
      <c r="Z54" s="54">
        <f t="shared" si="13"/>
        <v>0</v>
      </c>
    </row>
    <row r="55" spans="1:26" ht="41.25" customHeight="1">
      <c r="A55" s="1"/>
      <c r="B55" s="17"/>
      <c r="C55" s="47" t="s">
        <v>148</v>
      </c>
      <c r="D55" s="48">
        <f t="shared" si="8"/>
        <v>953000</v>
      </c>
      <c r="E55" s="49"/>
      <c r="F55" s="48">
        <f t="shared" si="9"/>
        <v>953000</v>
      </c>
      <c r="G55" s="44">
        <f>350000+35000+568000</f>
        <v>953000</v>
      </c>
      <c r="H55" s="21">
        <f>58000</f>
        <v>58000</v>
      </c>
      <c r="I55" s="35">
        <f t="shared" si="10"/>
        <v>6.08604407135362</v>
      </c>
      <c r="J55" s="37">
        <f t="shared" si="14"/>
        <v>15.064935064935064</v>
      </c>
      <c r="L55" s="64">
        <f t="shared" si="11"/>
        <v>-327000</v>
      </c>
      <c r="M55" s="69"/>
      <c r="N55" s="69"/>
      <c r="O55" s="69"/>
      <c r="P55" s="69"/>
      <c r="Q55" s="69"/>
      <c r="R55" s="69"/>
      <c r="S55" s="69">
        <v>35000</v>
      </c>
      <c r="T55" s="70">
        <v>245000</v>
      </c>
      <c r="U55" s="69"/>
      <c r="V55" s="69">
        <f>70000+21800</f>
        <v>91800</v>
      </c>
      <c r="W55" s="69">
        <f>13200</f>
        <v>13200</v>
      </c>
      <c r="X55" s="69"/>
      <c r="Y55" s="19">
        <f t="shared" si="12"/>
        <v>385000</v>
      </c>
      <c r="Z55" s="54">
        <f t="shared" si="13"/>
        <v>-568000</v>
      </c>
    </row>
    <row r="56" spans="1:26" ht="26.25" customHeight="1">
      <c r="A56" s="1"/>
      <c r="B56" s="17"/>
      <c r="C56" s="47" t="s">
        <v>81</v>
      </c>
      <c r="D56" s="48">
        <f t="shared" si="8"/>
        <v>250000</v>
      </c>
      <c r="E56" s="49"/>
      <c r="F56" s="48">
        <f t="shared" si="9"/>
        <v>250000</v>
      </c>
      <c r="G56" s="44">
        <f>100000+150000</f>
        <v>250000</v>
      </c>
      <c r="H56" s="21">
        <f>14000</f>
        <v>14000</v>
      </c>
      <c r="I56" s="35">
        <f t="shared" si="10"/>
        <v>5.6000000000000005</v>
      </c>
      <c r="J56" s="37">
        <f t="shared" si="14"/>
        <v>14.000000000000002</v>
      </c>
      <c r="L56" s="64">
        <f t="shared" si="11"/>
        <v>-86000</v>
      </c>
      <c r="M56" s="69"/>
      <c r="N56" s="69"/>
      <c r="O56" s="69"/>
      <c r="P56" s="69"/>
      <c r="Q56" s="69"/>
      <c r="R56" s="69"/>
      <c r="S56" s="69">
        <v>10000</v>
      </c>
      <c r="T56" s="70">
        <v>70000</v>
      </c>
      <c r="U56" s="69"/>
      <c r="V56" s="69">
        <v>20000</v>
      </c>
      <c r="W56" s="69"/>
      <c r="X56" s="69"/>
      <c r="Y56" s="19">
        <f t="shared" si="12"/>
        <v>100000</v>
      </c>
      <c r="Z56" s="54">
        <f t="shared" si="13"/>
        <v>-150000</v>
      </c>
    </row>
    <row r="57" spans="1:26" ht="26.25" customHeight="1" hidden="1">
      <c r="A57" s="1"/>
      <c r="B57" s="17"/>
      <c r="C57" s="47" t="s">
        <v>82</v>
      </c>
      <c r="D57" s="48">
        <f t="shared" si="8"/>
        <v>0</v>
      </c>
      <c r="E57" s="49"/>
      <c r="F57" s="48">
        <f t="shared" si="9"/>
        <v>0</v>
      </c>
      <c r="G57" s="44">
        <f>100000+50000-50000-100000</f>
        <v>0</v>
      </c>
      <c r="H57" s="21"/>
      <c r="I57" s="36" t="e">
        <f t="shared" si="10"/>
        <v>#DIV/0!</v>
      </c>
      <c r="J57" s="37" t="e">
        <f t="shared" si="14"/>
        <v>#DIV/0!</v>
      </c>
      <c r="L57" s="64">
        <f t="shared" si="11"/>
        <v>0</v>
      </c>
      <c r="M57" s="69"/>
      <c r="N57" s="69"/>
      <c r="O57" s="69"/>
      <c r="P57" s="69"/>
      <c r="Q57" s="69"/>
      <c r="R57" s="69"/>
      <c r="S57" s="69">
        <f>10000-10000</f>
        <v>0</v>
      </c>
      <c r="T57" s="70">
        <f>70000-70000</f>
        <v>0</v>
      </c>
      <c r="U57" s="69"/>
      <c r="V57" s="69">
        <f>20000-20000</f>
        <v>0</v>
      </c>
      <c r="W57" s="69"/>
      <c r="X57" s="69"/>
      <c r="Y57" s="19">
        <f t="shared" si="12"/>
        <v>0</v>
      </c>
      <c r="Z57" s="54">
        <f t="shared" si="13"/>
        <v>0</v>
      </c>
    </row>
    <row r="58" spans="1:26" ht="26.25" customHeight="1" hidden="1">
      <c r="A58" s="1"/>
      <c r="B58" s="17"/>
      <c r="C58" s="47" t="s">
        <v>83</v>
      </c>
      <c r="D58" s="48">
        <f t="shared" si="8"/>
        <v>0</v>
      </c>
      <c r="E58" s="49"/>
      <c r="F58" s="48">
        <f t="shared" si="9"/>
        <v>0</v>
      </c>
      <c r="G58" s="44">
        <f>200000-200000</f>
        <v>0</v>
      </c>
      <c r="H58" s="21"/>
      <c r="I58" s="36" t="e">
        <f t="shared" si="10"/>
        <v>#DIV/0!</v>
      </c>
      <c r="J58" s="37" t="e">
        <f t="shared" si="14"/>
        <v>#DIV/0!</v>
      </c>
      <c r="L58" s="64">
        <f t="shared" si="11"/>
        <v>0</v>
      </c>
      <c r="M58" s="69"/>
      <c r="N58" s="69"/>
      <c r="O58" s="69"/>
      <c r="P58" s="69"/>
      <c r="Q58" s="69"/>
      <c r="R58" s="69"/>
      <c r="S58" s="69">
        <v>20000</v>
      </c>
      <c r="T58" s="70">
        <v>140000</v>
      </c>
      <c r="U58" s="69"/>
      <c r="V58" s="69">
        <v>40000</v>
      </c>
      <c r="W58" s="69">
        <v>-200000</v>
      </c>
      <c r="X58" s="69"/>
      <c r="Y58" s="19">
        <f t="shared" si="12"/>
        <v>0</v>
      </c>
      <c r="Z58" s="54">
        <f t="shared" si="13"/>
        <v>0</v>
      </c>
    </row>
    <row r="59" spans="1:26" ht="26.25" customHeight="1" hidden="1">
      <c r="A59" s="1"/>
      <c r="B59" s="17"/>
      <c r="C59" s="47" t="s">
        <v>84</v>
      </c>
      <c r="D59" s="48">
        <f t="shared" si="8"/>
        <v>0</v>
      </c>
      <c r="E59" s="49"/>
      <c r="F59" s="48">
        <f t="shared" si="9"/>
        <v>0</v>
      </c>
      <c r="G59" s="44">
        <f>100000-100000</f>
        <v>0</v>
      </c>
      <c r="H59" s="21"/>
      <c r="I59" s="36" t="e">
        <f t="shared" si="10"/>
        <v>#DIV/0!</v>
      </c>
      <c r="J59" s="37" t="e">
        <f t="shared" si="14"/>
        <v>#DIV/0!</v>
      </c>
      <c r="L59" s="64">
        <f t="shared" si="11"/>
        <v>0</v>
      </c>
      <c r="M59" s="69"/>
      <c r="N59" s="69"/>
      <c r="O59" s="69"/>
      <c r="P59" s="69"/>
      <c r="Q59" s="69"/>
      <c r="R59" s="69"/>
      <c r="S59" s="69">
        <f>10000-10000</f>
        <v>0</v>
      </c>
      <c r="T59" s="70">
        <f>70000-70000</f>
        <v>0</v>
      </c>
      <c r="U59" s="69"/>
      <c r="V59" s="69">
        <f>20000-20000</f>
        <v>0</v>
      </c>
      <c r="W59" s="69"/>
      <c r="X59" s="69"/>
      <c r="Y59" s="19">
        <f t="shared" si="12"/>
        <v>0</v>
      </c>
      <c r="Z59" s="54">
        <f t="shared" si="13"/>
        <v>0</v>
      </c>
    </row>
    <row r="60" spans="1:26" ht="26.25" customHeight="1">
      <c r="A60" s="1"/>
      <c r="B60" s="17"/>
      <c r="C60" s="47" t="s">
        <v>85</v>
      </c>
      <c r="D60" s="48">
        <f t="shared" si="8"/>
        <v>977000</v>
      </c>
      <c r="E60" s="49"/>
      <c r="F60" s="48">
        <f t="shared" si="9"/>
        <v>977000</v>
      </c>
      <c r="G60" s="44">
        <f>100000+100000+777000</f>
        <v>977000</v>
      </c>
      <c r="H60" s="21">
        <f>44000</f>
        <v>44000</v>
      </c>
      <c r="I60" s="35">
        <f t="shared" si="10"/>
        <v>4.503582395087001</v>
      </c>
      <c r="J60" s="37">
        <f t="shared" si="14"/>
        <v>22</v>
      </c>
      <c r="L60" s="64">
        <f t="shared" si="11"/>
        <v>-156000</v>
      </c>
      <c r="M60" s="69"/>
      <c r="N60" s="69"/>
      <c r="O60" s="69"/>
      <c r="P60" s="69"/>
      <c r="Q60" s="69"/>
      <c r="R60" s="69"/>
      <c r="S60" s="69">
        <v>10000</v>
      </c>
      <c r="T60" s="70">
        <f>70000+100000</f>
        <v>170000</v>
      </c>
      <c r="U60" s="69"/>
      <c r="V60" s="69">
        <v>20000</v>
      </c>
      <c r="W60" s="69"/>
      <c r="X60" s="69"/>
      <c r="Y60" s="19">
        <f t="shared" si="12"/>
        <v>200000</v>
      </c>
      <c r="Z60" s="54">
        <f t="shared" si="13"/>
        <v>-777000</v>
      </c>
    </row>
    <row r="61" spans="1:26" ht="26.25" customHeight="1">
      <c r="A61" s="1"/>
      <c r="B61" s="17"/>
      <c r="C61" s="47" t="s">
        <v>166</v>
      </c>
      <c r="D61" s="48">
        <f t="shared" si="8"/>
        <v>274000</v>
      </c>
      <c r="E61" s="49"/>
      <c r="F61" s="48">
        <f>G61</f>
        <v>274000</v>
      </c>
      <c r="G61" s="44">
        <f>66000-35000+243000</f>
        <v>274000</v>
      </c>
      <c r="H61" s="21">
        <f>31000</f>
        <v>31000</v>
      </c>
      <c r="I61" s="35">
        <f t="shared" si="10"/>
        <v>11.313868613138686</v>
      </c>
      <c r="J61" s="37">
        <f t="shared" si="14"/>
        <v>100</v>
      </c>
      <c r="L61" s="64">
        <f t="shared" si="11"/>
        <v>0</v>
      </c>
      <c r="M61" s="69"/>
      <c r="N61" s="69"/>
      <c r="O61" s="69"/>
      <c r="P61" s="69">
        <f>6600</f>
        <v>6600</v>
      </c>
      <c r="Q61" s="69"/>
      <c r="R61" s="69"/>
      <c r="S61" s="69"/>
      <c r="T61" s="70"/>
      <c r="U61" s="69">
        <f>46200</f>
        <v>46200</v>
      </c>
      <c r="V61" s="69">
        <f>-21800</f>
        <v>-21800</v>
      </c>
      <c r="W61" s="69">
        <f>13200-13200</f>
        <v>0</v>
      </c>
      <c r="X61" s="69"/>
      <c r="Y61" s="19">
        <f t="shared" si="12"/>
        <v>31000</v>
      </c>
      <c r="Z61" s="54">
        <f t="shared" si="13"/>
        <v>-243000</v>
      </c>
    </row>
    <row r="62" spans="1:26" ht="43.5" customHeight="1" hidden="1">
      <c r="A62" s="1"/>
      <c r="B62" s="17"/>
      <c r="C62" s="47" t="s">
        <v>86</v>
      </c>
      <c r="D62" s="48">
        <f t="shared" si="8"/>
        <v>0</v>
      </c>
      <c r="E62" s="49"/>
      <c r="F62" s="48">
        <f t="shared" si="9"/>
        <v>0</v>
      </c>
      <c r="G62" s="44">
        <f>100000-100000</f>
        <v>0</v>
      </c>
      <c r="H62" s="21"/>
      <c r="I62" s="36" t="e">
        <f t="shared" si="10"/>
        <v>#DIV/0!</v>
      </c>
      <c r="J62" s="37" t="e">
        <f t="shared" si="14"/>
        <v>#DIV/0!</v>
      </c>
      <c r="L62" s="64">
        <f t="shared" si="11"/>
        <v>0</v>
      </c>
      <c r="M62" s="69"/>
      <c r="N62" s="69"/>
      <c r="O62" s="69"/>
      <c r="P62" s="69"/>
      <c r="Q62" s="69"/>
      <c r="R62" s="69"/>
      <c r="S62" s="69">
        <f>10000-10000</f>
        <v>0</v>
      </c>
      <c r="T62" s="70">
        <f>70000-70000</f>
        <v>0</v>
      </c>
      <c r="U62" s="69"/>
      <c r="V62" s="69">
        <f>20000-20000</f>
        <v>0</v>
      </c>
      <c r="W62" s="69"/>
      <c r="X62" s="69"/>
      <c r="Y62" s="19">
        <f t="shared" si="12"/>
        <v>0</v>
      </c>
      <c r="Z62" s="54">
        <f t="shared" si="13"/>
        <v>0</v>
      </c>
    </row>
    <row r="63" spans="1:26" ht="43.5" customHeight="1">
      <c r="A63" s="1"/>
      <c r="B63" s="17"/>
      <c r="C63" s="47" t="s">
        <v>87</v>
      </c>
      <c r="D63" s="48">
        <f t="shared" si="8"/>
        <v>229000</v>
      </c>
      <c r="E63" s="49"/>
      <c r="F63" s="48">
        <f t="shared" si="9"/>
        <v>229000</v>
      </c>
      <c r="G63" s="44">
        <f>460000-231000</f>
        <v>229000</v>
      </c>
      <c r="H63" s="21">
        <f>19000</f>
        <v>19000</v>
      </c>
      <c r="I63" s="35">
        <f t="shared" si="10"/>
        <v>8.296943231441048</v>
      </c>
      <c r="J63" s="37">
        <f t="shared" si="14"/>
        <v>6.859205776173286</v>
      </c>
      <c r="L63" s="64">
        <f t="shared" si="11"/>
        <v>-258000</v>
      </c>
      <c r="M63" s="69"/>
      <c r="N63" s="69"/>
      <c r="O63" s="69"/>
      <c r="P63" s="69"/>
      <c r="Q63" s="69"/>
      <c r="R63" s="69"/>
      <c r="S63" s="69">
        <v>46000</v>
      </c>
      <c r="T63" s="70">
        <v>322000</v>
      </c>
      <c r="U63" s="69">
        <f>-336000</f>
        <v>-336000</v>
      </c>
      <c r="V63" s="69">
        <f>92000+153000</f>
        <v>245000</v>
      </c>
      <c r="W63" s="69"/>
      <c r="X63" s="69">
        <f>183000</f>
        <v>183000</v>
      </c>
      <c r="Y63" s="19">
        <f t="shared" si="12"/>
        <v>460000</v>
      </c>
      <c r="Z63" s="54">
        <f t="shared" si="13"/>
        <v>231000</v>
      </c>
    </row>
    <row r="64" spans="1:26" ht="58.5" customHeight="1">
      <c r="A64" s="1"/>
      <c r="B64" s="17"/>
      <c r="C64" s="47" t="s">
        <v>161</v>
      </c>
      <c r="D64" s="48">
        <f t="shared" si="8"/>
        <v>150000</v>
      </c>
      <c r="E64" s="49"/>
      <c r="F64" s="48">
        <f t="shared" si="9"/>
        <v>150000</v>
      </c>
      <c r="G64" s="44">
        <v>150000</v>
      </c>
      <c r="H64" s="21"/>
      <c r="I64" s="36">
        <f t="shared" si="10"/>
        <v>0</v>
      </c>
      <c r="J64" s="37">
        <f t="shared" si="14"/>
        <v>0</v>
      </c>
      <c r="L64" s="64">
        <f t="shared" si="11"/>
        <v>-150000</v>
      </c>
      <c r="M64" s="69"/>
      <c r="N64" s="69"/>
      <c r="O64" s="69"/>
      <c r="P64" s="69"/>
      <c r="Q64" s="69"/>
      <c r="R64" s="69"/>
      <c r="S64" s="69">
        <v>150000</v>
      </c>
      <c r="T64" s="70"/>
      <c r="U64" s="69"/>
      <c r="V64" s="69"/>
      <c r="W64" s="69"/>
      <c r="X64" s="69"/>
      <c r="Y64" s="19">
        <f t="shared" si="12"/>
        <v>150000</v>
      </c>
      <c r="Z64" s="54">
        <f t="shared" si="13"/>
        <v>0</v>
      </c>
    </row>
    <row r="65" spans="1:26" ht="59.25" customHeight="1">
      <c r="A65" s="1"/>
      <c r="B65" s="17"/>
      <c r="C65" s="47" t="s">
        <v>162</v>
      </c>
      <c r="D65" s="48">
        <f t="shared" si="8"/>
        <v>150000</v>
      </c>
      <c r="E65" s="49"/>
      <c r="F65" s="48">
        <f t="shared" si="9"/>
        <v>150000</v>
      </c>
      <c r="G65" s="44">
        <v>150000</v>
      </c>
      <c r="H65" s="21"/>
      <c r="I65" s="36">
        <f t="shared" si="10"/>
        <v>0</v>
      </c>
      <c r="J65" s="37">
        <f t="shared" si="14"/>
        <v>0</v>
      </c>
      <c r="L65" s="64">
        <f t="shared" si="11"/>
        <v>-150000</v>
      </c>
      <c r="M65" s="69"/>
      <c r="N65" s="69"/>
      <c r="O65" s="69"/>
      <c r="P65" s="69"/>
      <c r="Q65" s="69"/>
      <c r="R65" s="69"/>
      <c r="S65" s="69">
        <v>150000</v>
      </c>
      <c r="T65" s="70"/>
      <c r="U65" s="69"/>
      <c r="V65" s="69"/>
      <c r="W65" s="69"/>
      <c r="X65" s="69"/>
      <c r="Y65" s="19">
        <f t="shared" si="12"/>
        <v>150000</v>
      </c>
      <c r="Z65" s="54">
        <f t="shared" si="13"/>
        <v>0</v>
      </c>
    </row>
    <row r="66" spans="1:26" ht="21" customHeight="1" hidden="1">
      <c r="A66" s="1"/>
      <c r="B66" s="17"/>
      <c r="C66" s="47" t="s">
        <v>163</v>
      </c>
      <c r="D66" s="48">
        <f t="shared" si="8"/>
        <v>0</v>
      </c>
      <c r="E66" s="49"/>
      <c r="F66" s="48">
        <f t="shared" si="9"/>
        <v>0</v>
      </c>
      <c r="G66" s="44">
        <f>40000-40000</f>
        <v>0</v>
      </c>
      <c r="H66" s="21"/>
      <c r="I66" s="36" t="e">
        <f t="shared" si="10"/>
        <v>#DIV/0!</v>
      </c>
      <c r="J66" s="37" t="e">
        <f t="shared" si="14"/>
        <v>#DIV/0!</v>
      </c>
      <c r="L66" s="64">
        <f t="shared" si="11"/>
        <v>0</v>
      </c>
      <c r="M66" s="69"/>
      <c r="N66" s="69"/>
      <c r="O66" s="69"/>
      <c r="P66" s="69">
        <f>4000</f>
        <v>4000</v>
      </c>
      <c r="Q66" s="69"/>
      <c r="R66" s="69"/>
      <c r="S66" s="69"/>
      <c r="T66" s="70">
        <f>-4000</f>
        <v>-4000</v>
      </c>
      <c r="U66" s="69"/>
      <c r="V66" s="69">
        <f>28000-28000</f>
        <v>0</v>
      </c>
      <c r="W66" s="69"/>
      <c r="X66" s="69">
        <f>8000-8000</f>
        <v>0</v>
      </c>
      <c r="Y66" s="19">
        <f t="shared" si="12"/>
        <v>0</v>
      </c>
      <c r="Z66" s="54">
        <f t="shared" si="13"/>
        <v>0</v>
      </c>
    </row>
    <row r="67" spans="1:26" ht="21" customHeight="1">
      <c r="A67" s="1"/>
      <c r="B67" s="17"/>
      <c r="C67" s="47" t="s">
        <v>167</v>
      </c>
      <c r="D67" s="48">
        <f t="shared" si="8"/>
        <v>169000</v>
      </c>
      <c r="E67" s="49"/>
      <c r="F67" s="48">
        <f t="shared" si="9"/>
        <v>169000</v>
      </c>
      <c r="G67" s="44">
        <f>50000+40000+79000</f>
        <v>169000</v>
      </c>
      <c r="H67" s="21">
        <f>7000</f>
        <v>7000</v>
      </c>
      <c r="I67" s="35">
        <f t="shared" si="10"/>
        <v>4.142011834319527</v>
      </c>
      <c r="J67" s="37">
        <f t="shared" si="14"/>
        <v>8.536585365853659</v>
      </c>
      <c r="L67" s="64">
        <f t="shared" si="11"/>
        <v>-75000</v>
      </c>
      <c r="M67" s="69"/>
      <c r="N67" s="69"/>
      <c r="O67" s="69"/>
      <c r="P67" s="69"/>
      <c r="Q67" s="69"/>
      <c r="R67" s="69"/>
      <c r="S67" s="69"/>
      <c r="T67" s="70">
        <f>50000+4000</f>
        <v>54000</v>
      </c>
      <c r="U67" s="69"/>
      <c r="V67" s="69">
        <f>28000</f>
        <v>28000</v>
      </c>
      <c r="W67" s="69"/>
      <c r="X67" s="69">
        <f>8000</f>
        <v>8000</v>
      </c>
      <c r="Y67" s="19">
        <f t="shared" si="12"/>
        <v>90000</v>
      </c>
      <c r="Z67" s="54">
        <f t="shared" si="13"/>
        <v>-79000</v>
      </c>
    </row>
    <row r="68" spans="1:26" ht="26.25" customHeight="1">
      <c r="A68" s="1"/>
      <c r="B68" s="17"/>
      <c r="C68" s="47" t="s">
        <v>168</v>
      </c>
      <c r="D68" s="48">
        <f t="shared" si="8"/>
        <v>605000</v>
      </c>
      <c r="E68" s="49"/>
      <c r="F68" s="48">
        <f t="shared" si="9"/>
        <v>605000</v>
      </c>
      <c r="G68" s="44">
        <f>294000+311000</f>
        <v>605000</v>
      </c>
      <c r="H68" s="21">
        <f>21000</f>
        <v>21000</v>
      </c>
      <c r="I68" s="35">
        <f>H68/D68*100</f>
        <v>3.4710743801652892</v>
      </c>
      <c r="J68" s="37">
        <f t="shared" si="14"/>
        <v>7.142857142857142</v>
      </c>
      <c r="L68" s="64">
        <f t="shared" si="11"/>
        <v>-273000</v>
      </c>
      <c r="M68" s="69"/>
      <c r="N68" s="69"/>
      <c r="O68" s="69"/>
      <c r="P68" s="69"/>
      <c r="Q68" s="69"/>
      <c r="R68" s="69"/>
      <c r="S68" s="69"/>
      <c r="T68" s="70">
        <f>30000</f>
        <v>30000</v>
      </c>
      <c r="U68" s="69"/>
      <c r="V68" s="69">
        <f>249054.66+14945.34</f>
        <v>264000</v>
      </c>
      <c r="W68" s="69">
        <f>14945.34-14945.34</f>
        <v>0</v>
      </c>
      <c r="X68" s="69"/>
      <c r="Y68" s="19">
        <f t="shared" si="12"/>
        <v>294000</v>
      </c>
      <c r="Z68" s="54">
        <f t="shared" si="13"/>
        <v>-311000</v>
      </c>
    </row>
    <row r="69" spans="1:26" ht="26.25" customHeight="1">
      <c r="A69" s="1"/>
      <c r="B69" s="17"/>
      <c r="C69" s="47" t="s">
        <v>149</v>
      </c>
      <c r="D69" s="48">
        <f t="shared" si="8"/>
        <v>527000</v>
      </c>
      <c r="E69" s="49"/>
      <c r="F69" s="48">
        <f t="shared" si="9"/>
        <v>527000</v>
      </c>
      <c r="G69" s="44">
        <f>232000+295000</f>
        <v>527000</v>
      </c>
      <c r="H69" s="44">
        <f>16655.74+8344.26+462913.66+7510</f>
        <v>495423.66</v>
      </c>
      <c r="I69" s="35">
        <f t="shared" si="10"/>
        <v>94.00828462998102</v>
      </c>
      <c r="J69" s="37">
        <f t="shared" si="14"/>
        <v>94.00828462998102</v>
      </c>
      <c r="L69" s="64">
        <f t="shared" si="11"/>
        <v>-31576.340000000026</v>
      </c>
      <c r="M69" s="69"/>
      <c r="N69" s="69"/>
      <c r="O69" s="69"/>
      <c r="P69" s="69"/>
      <c r="Q69" s="69"/>
      <c r="R69" s="69">
        <f>34800</f>
        <v>34800</v>
      </c>
      <c r="S69" s="69">
        <f>197200</f>
        <v>197200</v>
      </c>
      <c r="T69" s="70">
        <f>40471.53</f>
        <v>40471.53</v>
      </c>
      <c r="U69" s="69">
        <f>254528.47</f>
        <v>254528.47</v>
      </c>
      <c r="V69" s="69">
        <f>254528.47-254528.47</f>
        <v>0</v>
      </c>
      <c r="W69" s="69"/>
      <c r="X69" s="69">
        <f>232000-232000</f>
        <v>0</v>
      </c>
      <c r="Y69" s="19">
        <f t="shared" si="12"/>
        <v>527000</v>
      </c>
      <c r="Z69" s="54">
        <f t="shared" si="13"/>
        <v>0</v>
      </c>
    </row>
    <row r="70" spans="1:26" ht="26.25" customHeight="1">
      <c r="A70" s="1"/>
      <c r="B70" s="17"/>
      <c r="C70" s="47" t="s">
        <v>88</v>
      </c>
      <c r="D70" s="48">
        <f t="shared" si="8"/>
        <v>533000</v>
      </c>
      <c r="E70" s="49"/>
      <c r="F70" s="48">
        <f t="shared" si="9"/>
        <v>533000</v>
      </c>
      <c r="G70" s="44">
        <f>220000+290000+23000</f>
        <v>533000</v>
      </c>
      <c r="H70" s="21">
        <f>25000</f>
        <v>25000</v>
      </c>
      <c r="I70" s="35">
        <f t="shared" si="10"/>
        <v>4.690431519699812</v>
      </c>
      <c r="J70" s="37">
        <f t="shared" si="14"/>
        <v>11.363636363636363</v>
      </c>
      <c r="L70" s="64">
        <f t="shared" si="11"/>
        <v>-195000</v>
      </c>
      <c r="M70" s="69"/>
      <c r="N70" s="69"/>
      <c r="O70" s="69">
        <v>22000</v>
      </c>
      <c r="P70" s="69"/>
      <c r="Q70" s="69">
        <f>-22000</f>
        <v>-22000</v>
      </c>
      <c r="R70" s="69">
        <f>33000</f>
        <v>33000</v>
      </c>
      <c r="S70" s="69">
        <f>187000</f>
        <v>187000</v>
      </c>
      <c r="T70" s="70"/>
      <c r="U70" s="69"/>
      <c r="V70" s="69">
        <f>99000-99000</f>
        <v>0</v>
      </c>
      <c r="W70" s="69">
        <f>22000-22000</f>
        <v>0</v>
      </c>
      <c r="X70" s="69">
        <f>99000-99000+290000</f>
        <v>290000</v>
      </c>
      <c r="Y70" s="19">
        <f t="shared" si="12"/>
        <v>510000</v>
      </c>
      <c r="Z70" s="54">
        <f t="shared" si="13"/>
        <v>-23000</v>
      </c>
    </row>
    <row r="71" spans="1:26" ht="26.25" customHeight="1">
      <c r="A71" s="1"/>
      <c r="B71" s="17"/>
      <c r="C71" s="47" t="s">
        <v>89</v>
      </c>
      <c r="D71" s="48">
        <f t="shared" si="8"/>
        <v>860000</v>
      </c>
      <c r="E71" s="49"/>
      <c r="F71" s="48">
        <f t="shared" si="9"/>
        <v>860000</v>
      </c>
      <c r="G71" s="44">
        <f>127000+733000</f>
        <v>860000</v>
      </c>
      <c r="H71" s="21">
        <f>37000</f>
        <v>37000</v>
      </c>
      <c r="I71" s="35">
        <f t="shared" si="10"/>
        <v>4.302325581395349</v>
      </c>
      <c r="J71" s="37">
        <f t="shared" si="14"/>
        <v>29.133858267716533</v>
      </c>
      <c r="L71" s="64">
        <f t="shared" si="11"/>
        <v>-90000</v>
      </c>
      <c r="M71" s="69"/>
      <c r="N71" s="69"/>
      <c r="O71" s="69">
        <v>12700</v>
      </c>
      <c r="P71" s="69"/>
      <c r="Q71" s="69">
        <v>-12700</v>
      </c>
      <c r="R71" s="69">
        <f>19050</f>
        <v>19050</v>
      </c>
      <c r="S71" s="69">
        <f>107950</f>
        <v>107950</v>
      </c>
      <c r="T71" s="70"/>
      <c r="U71" s="69"/>
      <c r="V71" s="69">
        <f>57150-57150</f>
        <v>0</v>
      </c>
      <c r="W71" s="69">
        <f>12700-12700</f>
        <v>0</v>
      </c>
      <c r="X71" s="69">
        <f>57150-57150</f>
        <v>0</v>
      </c>
      <c r="Y71" s="19">
        <f t="shared" si="12"/>
        <v>127000</v>
      </c>
      <c r="Z71" s="54">
        <f t="shared" si="13"/>
        <v>-733000</v>
      </c>
    </row>
    <row r="72" spans="1:26" ht="43.5" customHeight="1">
      <c r="A72" s="1"/>
      <c r="B72" s="17"/>
      <c r="C72" s="47" t="s">
        <v>90</v>
      </c>
      <c r="D72" s="48">
        <f t="shared" si="8"/>
        <v>42000</v>
      </c>
      <c r="E72" s="49"/>
      <c r="F72" s="48">
        <f t="shared" si="9"/>
        <v>42000</v>
      </c>
      <c r="G72" s="44">
        <f>240000-198000</f>
        <v>42000</v>
      </c>
      <c r="H72" s="21">
        <f>42000</f>
        <v>42000</v>
      </c>
      <c r="I72" s="35">
        <f t="shared" si="10"/>
        <v>100</v>
      </c>
      <c r="J72" s="37">
        <f t="shared" si="14"/>
        <v>17.5</v>
      </c>
      <c r="L72" s="64">
        <f t="shared" si="11"/>
        <v>-198000</v>
      </c>
      <c r="M72" s="69"/>
      <c r="N72" s="69"/>
      <c r="O72" s="69">
        <v>24000</v>
      </c>
      <c r="P72" s="69"/>
      <c r="Q72" s="69">
        <v>-24000</v>
      </c>
      <c r="R72" s="69">
        <f>36000</f>
        <v>36000</v>
      </c>
      <c r="S72" s="69">
        <f>204000</f>
        <v>204000</v>
      </c>
      <c r="T72" s="70"/>
      <c r="U72" s="69"/>
      <c r="V72" s="69">
        <f>108000-108000</f>
        <v>0</v>
      </c>
      <c r="W72" s="69">
        <f>24000-24000</f>
        <v>0</v>
      </c>
      <c r="X72" s="69">
        <f>108000-108000</f>
        <v>0</v>
      </c>
      <c r="Y72" s="19">
        <f t="shared" si="12"/>
        <v>240000</v>
      </c>
      <c r="Z72" s="54">
        <f t="shared" si="13"/>
        <v>198000</v>
      </c>
    </row>
    <row r="73" spans="1:26" ht="26.25" customHeight="1">
      <c r="A73" s="1"/>
      <c r="B73" s="17"/>
      <c r="C73" s="47" t="s">
        <v>150</v>
      </c>
      <c r="D73" s="48">
        <f t="shared" si="8"/>
        <v>1650000</v>
      </c>
      <c r="E73" s="49"/>
      <c r="F73" s="48">
        <f t="shared" si="9"/>
        <v>1650000</v>
      </c>
      <c r="G73" s="44">
        <v>1650000</v>
      </c>
      <c r="H73" s="44">
        <f>68813.21+980000+421734.24</f>
        <v>1470547.45</v>
      </c>
      <c r="I73" s="35">
        <f t="shared" si="10"/>
        <v>89.12408787878788</v>
      </c>
      <c r="J73" s="37">
        <f t="shared" si="14"/>
        <v>99.96923521414004</v>
      </c>
      <c r="L73" s="64">
        <f t="shared" si="11"/>
        <v>-452.55000000004657</v>
      </c>
      <c r="M73" s="69"/>
      <c r="N73" s="69"/>
      <c r="O73" s="69">
        <v>1320000</v>
      </c>
      <c r="P73" s="69">
        <f>-1201000</f>
        <v>-1201000</v>
      </c>
      <c r="Q73" s="69"/>
      <c r="R73" s="69">
        <f>330000+1201000-600000</f>
        <v>931000</v>
      </c>
      <c r="S73" s="69"/>
      <c r="T73" s="70">
        <f>900000-900000</f>
        <v>0</v>
      </c>
      <c r="U73" s="69"/>
      <c r="V73" s="69"/>
      <c r="W73" s="69">
        <f>301000-301000+421000</f>
        <v>421000</v>
      </c>
      <c r="X73" s="69">
        <f>600000-421000</f>
        <v>179000</v>
      </c>
      <c r="Y73" s="19">
        <f t="shared" si="12"/>
        <v>1650000</v>
      </c>
      <c r="Z73" s="54">
        <f t="shared" si="13"/>
        <v>0</v>
      </c>
    </row>
    <row r="74" spans="1:26" ht="26.25" customHeight="1">
      <c r="A74" s="1"/>
      <c r="B74" s="17"/>
      <c r="C74" s="47" t="s">
        <v>91</v>
      </c>
      <c r="D74" s="48">
        <f t="shared" si="8"/>
        <v>771000</v>
      </c>
      <c r="E74" s="49"/>
      <c r="F74" s="48">
        <f t="shared" si="9"/>
        <v>771000</v>
      </c>
      <c r="G74" s="44">
        <f>480000+291000</f>
        <v>771000</v>
      </c>
      <c r="H74" s="44">
        <f>33131.85+500000+80825.2+8838.07</f>
        <v>622795.1199999999</v>
      </c>
      <c r="I74" s="35">
        <f t="shared" si="10"/>
        <v>80.77757717250323</v>
      </c>
      <c r="J74" s="37">
        <f t="shared" si="14"/>
        <v>80.77757717250323</v>
      </c>
      <c r="L74" s="64">
        <f t="shared" si="11"/>
        <v>-148204.88000000012</v>
      </c>
      <c r="M74" s="69"/>
      <c r="N74" s="69"/>
      <c r="O74" s="69">
        <v>48000</v>
      </c>
      <c r="P74" s="69"/>
      <c r="Q74" s="69"/>
      <c r="R74" s="69">
        <f>64800</f>
        <v>64800</v>
      </c>
      <c r="S74" s="69">
        <f>367200</f>
        <v>367200</v>
      </c>
      <c r="T74" s="70"/>
      <c r="U74" s="69">
        <f>54000</f>
        <v>54000</v>
      </c>
      <c r="V74" s="69">
        <f>336000-336000+291000-54000</f>
        <v>237000</v>
      </c>
      <c r="W74" s="69"/>
      <c r="X74" s="69">
        <f>96000-96000</f>
        <v>0</v>
      </c>
      <c r="Y74" s="19">
        <f t="shared" si="12"/>
        <v>771000</v>
      </c>
      <c r="Z74" s="54">
        <f t="shared" si="13"/>
        <v>0</v>
      </c>
    </row>
    <row r="75" spans="1:26" ht="26.25" customHeight="1">
      <c r="A75" s="1"/>
      <c r="B75" s="17"/>
      <c r="C75" s="47" t="s">
        <v>92</v>
      </c>
      <c r="D75" s="48">
        <f t="shared" si="8"/>
        <v>1043000</v>
      </c>
      <c r="E75" s="49"/>
      <c r="F75" s="48">
        <f t="shared" si="9"/>
        <v>1043000</v>
      </c>
      <c r="G75" s="44">
        <f>116000+927000</f>
        <v>1043000</v>
      </c>
      <c r="H75" s="21">
        <f>53000+720000</f>
        <v>773000</v>
      </c>
      <c r="I75" s="35">
        <f t="shared" si="10"/>
        <v>74.11313518696069</v>
      </c>
      <c r="J75" s="37">
        <f t="shared" si="14"/>
        <v>832.9741379310345</v>
      </c>
      <c r="L75" s="64">
        <f t="shared" si="11"/>
        <v>680200</v>
      </c>
      <c r="M75" s="69"/>
      <c r="N75" s="69"/>
      <c r="O75" s="69">
        <v>11600</v>
      </c>
      <c r="P75" s="69"/>
      <c r="Q75" s="69">
        <f>-11600</f>
        <v>-11600</v>
      </c>
      <c r="R75" s="69"/>
      <c r="S75" s="69"/>
      <c r="T75" s="70"/>
      <c r="U75" s="69">
        <f>53000</f>
        <v>53000</v>
      </c>
      <c r="V75" s="69">
        <f>81200-53000</f>
        <v>28200</v>
      </c>
      <c r="W75" s="69">
        <f>11600</f>
        <v>11600</v>
      </c>
      <c r="X75" s="69">
        <v>23200</v>
      </c>
      <c r="Y75" s="19">
        <f t="shared" si="12"/>
        <v>116000</v>
      </c>
      <c r="Z75" s="54">
        <f t="shared" si="13"/>
        <v>-927000</v>
      </c>
    </row>
    <row r="76" spans="1:26" ht="26.25" customHeight="1">
      <c r="A76" s="1"/>
      <c r="B76" s="17"/>
      <c r="C76" s="47" t="s">
        <v>93</v>
      </c>
      <c r="D76" s="48">
        <f t="shared" si="8"/>
        <v>35000</v>
      </c>
      <c r="E76" s="49"/>
      <c r="F76" s="48">
        <f t="shared" si="9"/>
        <v>35000</v>
      </c>
      <c r="G76" s="44">
        <f>116000-81000</f>
        <v>35000</v>
      </c>
      <c r="H76" s="21">
        <f>35000</f>
        <v>35000</v>
      </c>
      <c r="I76" s="35">
        <f t="shared" si="10"/>
        <v>100</v>
      </c>
      <c r="J76" s="37">
        <f t="shared" si="14"/>
        <v>30.17241379310345</v>
      </c>
      <c r="L76" s="64">
        <f t="shared" si="11"/>
        <v>-81000</v>
      </c>
      <c r="M76" s="69"/>
      <c r="N76" s="69"/>
      <c r="O76" s="69">
        <v>11600</v>
      </c>
      <c r="P76" s="69"/>
      <c r="Q76" s="69">
        <f>-11600</f>
        <v>-11600</v>
      </c>
      <c r="R76" s="69">
        <f>17400</f>
        <v>17400</v>
      </c>
      <c r="S76" s="69">
        <f>98600</f>
        <v>98600</v>
      </c>
      <c r="T76" s="70"/>
      <c r="U76" s="69"/>
      <c r="V76" s="69">
        <f>52200-52200</f>
        <v>0</v>
      </c>
      <c r="W76" s="69">
        <f>11600-11600</f>
        <v>0</v>
      </c>
      <c r="X76" s="69">
        <f>52200-52200</f>
        <v>0</v>
      </c>
      <c r="Y76" s="19">
        <f t="shared" si="12"/>
        <v>116000</v>
      </c>
      <c r="Z76" s="54">
        <f t="shared" si="13"/>
        <v>81000</v>
      </c>
    </row>
    <row r="77" spans="1:26" ht="26.25" customHeight="1" hidden="1">
      <c r="A77" s="1"/>
      <c r="B77" s="17"/>
      <c r="C77" s="47" t="s">
        <v>94</v>
      </c>
      <c r="D77" s="48">
        <f t="shared" si="8"/>
        <v>0</v>
      </c>
      <c r="E77" s="49"/>
      <c r="F77" s="48">
        <f t="shared" si="9"/>
        <v>0</v>
      </c>
      <c r="G77" s="44">
        <f>50000-50000</f>
        <v>0</v>
      </c>
      <c r="H77" s="21"/>
      <c r="I77" s="35" t="e">
        <f t="shared" si="10"/>
        <v>#DIV/0!</v>
      </c>
      <c r="J77" s="37" t="e">
        <f t="shared" si="14"/>
        <v>#DIV/0!</v>
      </c>
      <c r="L77" s="64">
        <f t="shared" si="11"/>
        <v>0</v>
      </c>
      <c r="M77" s="69"/>
      <c r="N77" s="69"/>
      <c r="O77" s="69">
        <v>5000</v>
      </c>
      <c r="P77" s="69"/>
      <c r="Q77" s="69">
        <f>-5000</f>
        <v>-5000</v>
      </c>
      <c r="R77" s="69"/>
      <c r="S77" s="69"/>
      <c r="T77" s="70"/>
      <c r="U77" s="69"/>
      <c r="V77" s="69">
        <v>35000</v>
      </c>
      <c r="W77" s="69">
        <f>5000-40000</f>
        <v>-35000</v>
      </c>
      <c r="X77" s="69">
        <f>10000-10000</f>
        <v>0</v>
      </c>
      <c r="Y77" s="19">
        <f t="shared" si="12"/>
        <v>0</v>
      </c>
      <c r="Z77" s="54">
        <f t="shared" si="13"/>
        <v>0</v>
      </c>
    </row>
    <row r="78" spans="1:26" ht="26.25" customHeight="1" hidden="1">
      <c r="A78" s="1"/>
      <c r="B78" s="17"/>
      <c r="C78" s="47" t="s">
        <v>95</v>
      </c>
      <c r="D78" s="48">
        <f t="shared" si="8"/>
        <v>0</v>
      </c>
      <c r="E78" s="49"/>
      <c r="F78" s="48">
        <f t="shared" si="9"/>
        <v>0</v>
      </c>
      <c r="G78" s="44">
        <f>116000-116000</f>
        <v>0</v>
      </c>
      <c r="H78" s="21"/>
      <c r="I78" s="35" t="e">
        <f t="shared" si="10"/>
        <v>#DIV/0!</v>
      </c>
      <c r="J78" s="37" t="e">
        <f t="shared" si="14"/>
        <v>#DIV/0!</v>
      </c>
      <c r="L78" s="64">
        <f t="shared" si="11"/>
        <v>0</v>
      </c>
      <c r="M78" s="69"/>
      <c r="N78" s="69"/>
      <c r="O78" s="69">
        <v>11600</v>
      </c>
      <c r="P78" s="69"/>
      <c r="Q78" s="69">
        <v>-11600</v>
      </c>
      <c r="R78" s="69"/>
      <c r="S78" s="69"/>
      <c r="T78" s="70"/>
      <c r="U78" s="69"/>
      <c r="V78" s="69">
        <f>81200-81200</f>
        <v>0</v>
      </c>
      <c r="W78" s="69">
        <f>11600-11600</f>
        <v>0</v>
      </c>
      <c r="X78" s="69">
        <f>23200-23200</f>
        <v>0</v>
      </c>
      <c r="Y78" s="19">
        <f t="shared" si="12"/>
        <v>0</v>
      </c>
      <c r="Z78" s="54">
        <f t="shared" si="13"/>
        <v>0</v>
      </c>
    </row>
    <row r="79" spans="1:26" ht="26.25" customHeight="1" hidden="1">
      <c r="A79" s="1"/>
      <c r="B79" s="17"/>
      <c r="C79" s="47" t="s">
        <v>96</v>
      </c>
      <c r="D79" s="48">
        <f t="shared" si="8"/>
        <v>0</v>
      </c>
      <c r="E79" s="49"/>
      <c r="F79" s="48">
        <f t="shared" si="9"/>
        <v>0</v>
      </c>
      <c r="G79" s="44">
        <f>263000-173418.97-89581.03</f>
        <v>0</v>
      </c>
      <c r="H79" s="21"/>
      <c r="I79" s="35" t="e">
        <f t="shared" si="10"/>
        <v>#DIV/0!</v>
      </c>
      <c r="J79" s="37" t="e">
        <f t="shared" si="14"/>
        <v>#DIV/0!</v>
      </c>
      <c r="L79" s="64">
        <f t="shared" si="11"/>
        <v>0</v>
      </c>
      <c r="M79" s="69"/>
      <c r="N79" s="69"/>
      <c r="O79" s="69">
        <v>26300</v>
      </c>
      <c r="P79" s="69"/>
      <c r="Q79" s="69">
        <v>-26300</v>
      </c>
      <c r="R79" s="69"/>
      <c r="S79" s="69"/>
      <c r="T79" s="70"/>
      <c r="U79" s="69"/>
      <c r="V79" s="69">
        <f>184100-94518.97-89581.03</f>
        <v>0</v>
      </c>
      <c r="W79" s="69">
        <f>26300-26300</f>
        <v>0</v>
      </c>
      <c r="X79" s="69">
        <f>52600-52600</f>
        <v>0</v>
      </c>
      <c r="Y79" s="19">
        <f t="shared" si="12"/>
        <v>0</v>
      </c>
      <c r="Z79" s="54">
        <f t="shared" si="13"/>
        <v>0</v>
      </c>
    </row>
    <row r="80" spans="1:26" ht="26.25" customHeight="1">
      <c r="A80" s="1"/>
      <c r="B80" s="17"/>
      <c r="C80" s="47" t="s">
        <v>97</v>
      </c>
      <c r="D80" s="48">
        <f t="shared" si="8"/>
        <v>319112.33999999997</v>
      </c>
      <c r="E80" s="49"/>
      <c r="F80" s="48">
        <f t="shared" si="9"/>
        <v>319112.33999999997</v>
      </c>
      <c r="G80" s="44">
        <f>118000+201112.34</f>
        <v>319112.33999999997</v>
      </c>
      <c r="H80" s="21">
        <f>17000</f>
        <v>17000</v>
      </c>
      <c r="I80" s="35">
        <f t="shared" si="10"/>
        <v>5.327277534927042</v>
      </c>
      <c r="J80" s="37">
        <f t="shared" si="14"/>
        <v>18.008474576271187</v>
      </c>
      <c r="L80" s="64">
        <f t="shared" si="11"/>
        <v>-77400</v>
      </c>
      <c r="M80" s="69"/>
      <c r="N80" s="69"/>
      <c r="O80" s="69">
        <v>11800</v>
      </c>
      <c r="P80" s="69"/>
      <c r="Q80" s="69">
        <v>-11800</v>
      </c>
      <c r="R80" s="69"/>
      <c r="S80" s="69"/>
      <c r="T80" s="70"/>
      <c r="U80" s="69"/>
      <c r="V80" s="69">
        <v>82600</v>
      </c>
      <c r="W80" s="69">
        <f>11800</f>
        <v>11800</v>
      </c>
      <c r="X80" s="69">
        <f>23600+201112.34</f>
        <v>224712.34</v>
      </c>
      <c r="Y80" s="19">
        <f t="shared" si="12"/>
        <v>319112.33999999997</v>
      </c>
      <c r="Z80" s="54">
        <f t="shared" si="13"/>
        <v>0</v>
      </c>
    </row>
    <row r="81" spans="1:26" ht="26.25" customHeight="1">
      <c r="A81" s="1"/>
      <c r="B81" s="17"/>
      <c r="C81" s="47" t="s">
        <v>98</v>
      </c>
      <c r="D81" s="48">
        <f t="shared" si="8"/>
        <v>232000</v>
      </c>
      <c r="E81" s="49"/>
      <c r="F81" s="48">
        <f t="shared" si="9"/>
        <v>232000</v>
      </c>
      <c r="G81" s="44">
        <v>232000</v>
      </c>
      <c r="H81" s="21">
        <f>36000</f>
        <v>36000</v>
      </c>
      <c r="I81" s="35">
        <f t="shared" si="10"/>
        <v>15.517241379310345</v>
      </c>
      <c r="J81" s="37">
        <f t="shared" si="14"/>
        <v>15.517241379310345</v>
      </c>
      <c r="L81" s="64">
        <f t="shared" si="11"/>
        <v>-196000</v>
      </c>
      <c r="M81" s="69"/>
      <c r="N81" s="69"/>
      <c r="O81" s="69">
        <v>23200</v>
      </c>
      <c r="P81" s="69"/>
      <c r="Q81" s="69">
        <v>-23200</v>
      </c>
      <c r="R81" s="69">
        <f>34800</f>
        <v>34800</v>
      </c>
      <c r="S81" s="69">
        <f>197200</f>
        <v>197200</v>
      </c>
      <c r="T81" s="70"/>
      <c r="U81" s="69"/>
      <c r="V81" s="69">
        <f>162400-162400</f>
        <v>0</v>
      </c>
      <c r="W81" s="69">
        <f>23200-23200</f>
        <v>0</v>
      </c>
      <c r="X81" s="69">
        <f>46400-46400</f>
        <v>0</v>
      </c>
      <c r="Y81" s="19">
        <f t="shared" si="12"/>
        <v>232000</v>
      </c>
      <c r="Z81" s="54">
        <f t="shared" si="13"/>
        <v>0</v>
      </c>
    </row>
    <row r="82" spans="1:26" ht="26.25" customHeight="1">
      <c r="A82" s="1"/>
      <c r="B82" s="17"/>
      <c r="C82" s="47" t="s">
        <v>99</v>
      </c>
      <c r="D82" s="48">
        <f t="shared" si="8"/>
        <v>140000</v>
      </c>
      <c r="E82" s="49"/>
      <c r="F82" s="48">
        <f t="shared" si="9"/>
        <v>140000</v>
      </c>
      <c r="G82" s="44">
        <f>150000-10000</f>
        <v>140000</v>
      </c>
      <c r="H82" s="21">
        <f>13838.39+119390.48+1898</f>
        <v>135126.87</v>
      </c>
      <c r="I82" s="35">
        <f t="shared" si="10"/>
        <v>96.51919285714285</v>
      </c>
      <c r="J82" s="37">
        <f t="shared" si="14"/>
        <v>96.51919285714285</v>
      </c>
      <c r="L82" s="64">
        <f t="shared" si="11"/>
        <v>-4873.130000000005</v>
      </c>
      <c r="M82" s="69"/>
      <c r="N82" s="69"/>
      <c r="O82" s="69">
        <v>15000</v>
      </c>
      <c r="P82" s="69"/>
      <c r="Q82" s="69">
        <v>-15000</v>
      </c>
      <c r="R82" s="69">
        <f>22500</f>
        <v>22500</v>
      </c>
      <c r="S82" s="69">
        <f>127500</f>
        <v>127500</v>
      </c>
      <c r="T82" s="70">
        <f>-10000</f>
        <v>-10000</v>
      </c>
      <c r="U82" s="69"/>
      <c r="V82" s="69">
        <f>105000-105000</f>
        <v>0</v>
      </c>
      <c r="W82" s="69">
        <f>15000-15000</f>
        <v>0</v>
      </c>
      <c r="X82" s="69">
        <f>30000-30000</f>
        <v>0</v>
      </c>
      <c r="Y82" s="19">
        <f t="shared" si="12"/>
        <v>140000</v>
      </c>
      <c r="Z82" s="54">
        <f t="shared" si="13"/>
        <v>0</v>
      </c>
    </row>
    <row r="83" spans="1:26" ht="26.25" customHeight="1" hidden="1">
      <c r="A83" s="1"/>
      <c r="B83" s="17"/>
      <c r="C83" s="47" t="s">
        <v>100</v>
      </c>
      <c r="D83" s="48">
        <f t="shared" si="8"/>
        <v>0</v>
      </c>
      <c r="E83" s="49"/>
      <c r="F83" s="48">
        <f t="shared" si="9"/>
        <v>0</v>
      </c>
      <c r="G83" s="44">
        <f>350000-350000</f>
        <v>0</v>
      </c>
      <c r="H83" s="21"/>
      <c r="I83" s="36" t="e">
        <f t="shared" si="10"/>
        <v>#DIV/0!</v>
      </c>
      <c r="J83" s="37" t="e">
        <f t="shared" si="14"/>
        <v>#DIV/0!</v>
      </c>
      <c r="L83" s="64">
        <f t="shared" si="11"/>
        <v>0</v>
      </c>
      <c r="M83" s="69"/>
      <c r="N83" s="69"/>
      <c r="O83" s="69">
        <v>35000</v>
      </c>
      <c r="P83" s="69"/>
      <c r="Q83" s="69">
        <v>-35000</v>
      </c>
      <c r="R83" s="69"/>
      <c r="S83" s="69"/>
      <c r="T83" s="70"/>
      <c r="U83" s="69"/>
      <c r="V83" s="69">
        <v>157500</v>
      </c>
      <c r="W83" s="69">
        <f>35000-192500</f>
        <v>-157500</v>
      </c>
      <c r="X83" s="69">
        <f>157500-157500</f>
        <v>0</v>
      </c>
      <c r="Y83" s="19">
        <f t="shared" si="12"/>
        <v>0</v>
      </c>
      <c r="Z83" s="54">
        <f t="shared" si="13"/>
        <v>0</v>
      </c>
    </row>
    <row r="84" spans="1:26" ht="26.25" customHeight="1" hidden="1">
      <c r="A84" s="1"/>
      <c r="B84" s="17"/>
      <c r="C84" s="47" t="s">
        <v>101</v>
      </c>
      <c r="D84" s="48">
        <f t="shared" si="8"/>
        <v>0</v>
      </c>
      <c r="E84" s="49"/>
      <c r="F84" s="48">
        <f t="shared" si="9"/>
        <v>0</v>
      </c>
      <c r="G84" s="44">
        <f>130000-130000</f>
        <v>0</v>
      </c>
      <c r="H84" s="21"/>
      <c r="I84" s="36" t="e">
        <f t="shared" si="10"/>
        <v>#DIV/0!</v>
      </c>
      <c r="J84" s="37" t="e">
        <f t="shared" si="14"/>
        <v>#DIV/0!</v>
      </c>
      <c r="L84" s="64">
        <f t="shared" si="11"/>
        <v>0</v>
      </c>
      <c r="M84" s="69"/>
      <c r="N84" s="69"/>
      <c r="O84" s="69">
        <v>13000</v>
      </c>
      <c r="P84" s="69"/>
      <c r="Q84" s="69">
        <v>-13000</v>
      </c>
      <c r="R84" s="69">
        <f>19500</f>
        <v>19500</v>
      </c>
      <c r="S84" s="69">
        <f>110500</f>
        <v>110500</v>
      </c>
      <c r="T84" s="70">
        <f>-130000</f>
        <v>-130000</v>
      </c>
      <c r="U84" s="69"/>
      <c r="V84" s="69">
        <f>91000-91000</f>
        <v>0</v>
      </c>
      <c r="W84" s="69">
        <f>13000-13000</f>
        <v>0</v>
      </c>
      <c r="X84" s="69">
        <f>26000-26000</f>
        <v>0</v>
      </c>
      <c r="Y84" s="19">
        <f t="shared" si="12"/>
        <v>0</v>
      </c>
      <c r="Z84" s="54">
        <f t="shared" si="13"/>
        <v>0</v>
      </c>
    </row>
    <row r="85" spans="1:26" ht="26.25" customHeight="1">
      <c r="A85" s="1"/>
      <c r="B85" s="17"/>
      <c r="C85" s="47" t="s">
        <v>102</v>
      </c>
      <c r="D85" s="48">
        <f t="shared" si="8"/>
        <v>528000</v>
      </c>
      <c r="E85" s="49"/>
      <c r="F85" s="48">
        <f t="shared" si="9"/>
        <v>528000</v>
      </c>
      <c r="G85" s="44">
        <f>133000+130000+265000</f>
        <v>528000</v>
      </c>
      <c r="H85" s="21">
        <f>30000+214412.06</f>
        <v>244412.06</v>
      </c>
      <c r="I85" s="35">
        <f t="shared" si="10"/>
        <v>46.290162878787875</v>
      </c>
      <c r="J85" s="37">
        <f t="shared" si="14"/>
        <v>92.9323422053232</v>
      </c>
      <c r="L85" s="64">
        <f t="shared" si="11"/>
        <v>-18587.940000000002</v>
      </c>
      <c r="M85" s="69"/>
      <c r="N85" s="69"/>
      <c r="O85" s="69">
        <v>13300</v>
      </c>
      <c r="P85" s="69"/>
      <c r="Q85" s="69">
        <v>-13300</v>
      </c>
      <c r="R85" s="69">
        <f>19950</f>
        <v>19950</v>
      </c>
      <c r="S85" s="69">
        <f>113050</f>
        <v>113050</v>
      </c>
      <c r="T85" s="70">
        <f>130000</f>
        <v>130000</v>
      </c>
      <c r="U85" s="69"/>
      <c r="V85" s="69">
        <f>93100-93100</f>
        <v>0</v>
      </c>
      <c r="W85" s="69">
        <f>13300-13300</f>
        <v>0</v>
      </c>
      <c r="X85" s="69">
        <f>26600-26600</f>
        <v>0</v>
      </c>
      <c r="Y85" s="19">
        <f t="shared" si="12"/>
        <v>263000</v>
      </c>
      <c r="Z85" s="54">
        <f t="shared" si="13"/>
        <v>-265000</v>
      </c>
    </row>
    <row r="86" spans="1:26" ht="26.25" customHeight="1">
      <c r="A86" s="1"/>
      <c r="B86" s="17"/>
      <c r="C86" s="47" t="s">
        <v>103</v>
      </c>
      <c r="D86" s="48">
        <f t="shared" si="8"/>
        <v>419000</v>
      </c>
      <c r="E86" s="49"/>
      <c r="F86" s="48">
        <f t="shared" si="9"/>
        <v>419000</v>
      </c>
      <c r="G86" s="44">
        <f>133000+286000</f>
        <v>419000</v>
      </c>
      <c r="H86" s="21">
        <f>23000</f>
        <v>23000</v>
      </c>
      <c r="I86" s="35">
        <f t="shared" si="10"/>
        <v>5.4892601431980905</v>
      </c>
      <c r="J86" s="37">
        <f t="shared" si="14"/>
        <v>21.616541353383457</v>
      </c>
      <c r="L86" s="64">
        <f t="shared" si="11"/>
        <v>-83400</v>
      </c>
      <c r="M86" s="69"/>
      <c r="N86" s="69"/>
      <c r="O86" s="69">
        <v>13300</v>
      </c>
      <c r="P86" s="69"/>
      <c r="Q86" s="69">
        <v>-13300</v>
      </c>
      <c r="R86" s="69"/>
      <c r="S86" s="69"/>
      <c r="T86" s="70"/>
      <c r="U86" s="69">
        <f>23000</f>
        <v>23000</v>
      </c>
      <c r="V86" s="69">
        <f>93100-23000</f>
        <v>70100</v>
      </c>
      <c r="W86" s="69">
        <f>13300</f>
        <v>13300</v>
      </c>
      <c r="X86" s="69">
        <v>26600</v>
      </c>
      <c r="Y86" s="19">
        <f t="shared" si="12"/>
        <v>133000</v>
      </c>
      <c r="Z86" s="54">
        <f t="shared" si="13"/>
        <v>-286000</v>
      </c>
    </row>
    <row r="87" spans="1:26" ht="26.25" customHeight="1">
      <c r="A87" s="1"/>
      <c r="B87" s="17"/>
      <c r="C87" s="47" t="s">
        <v>104</v>
      </c>
      <c r="D87" s="48">
        <f t="shared" si="8"/>
        <v>458000</v>
      </c>
      <c r="E87" s="49"/>
      <c r="F87" s="48">
        <f t="shared" si="9"/>
        <v>458000</v>
      </c>
      <c r="G87" s="44">
        <f>116000+342000</f>
        <v>458000</v>
      </c>
      <c r="H87" s="21">
        <f>23000</f>
        <v>23000</v>
      </c>
      <c r="I87" s="35">
        <f t="shared" si="10"/>
        <v>5.021834061135371</v>
      </c>
      <c r="J87" s="37">
        <f t="shared" si="14"/>
        <v>24.78448275862069</v>
      </c>
      <c r="L87" s="64">
        <f t="shared" si="11"/>
        <v>-69800</v>
      </c>
      <c r="M87" s="69"/>
      <c r="N87" s="69"/>
      <c r="O87" s="69">
        <v>11600</v>
      </c>
      <c r="P87" s="69"/>
      <c r="Q87" s="69">
        <v>-11600</v>
      </c>
      <c r="R87" s="69"/>
      <c r="S87" s="69"/>
      <c r="T87" s="70"/>
      <c r="U87" s="69">
        <f>23000</f>
        <v>23000</v>
      </c>
      <c r="V87" s="69">
        <f>81200-23000</f>
        <v>58200</v>
      </c>
      <c r="W87" s="69">
        <f>11600</f>
        <v>11600</v>
      </c>
      <c r="X87" s="69">
        <v>23200</v>
      </c>
      <c r="Y87" s="19">
        <f t="shared" si="12"/>
        <v>116000</v>
      </c>
      <c r="Z87" s="54">
        <f t="shared" si="13"/>
        <v>-342000</v>
      </c>
    </row>
    <row r="88" spans="1:26" ht="48" customHeight="1">
      <c r="A88" s="1"/>
      <c r="B88" s="17"/>
      <c r="C88" s="47" t="s">
        <v>169</v>
      </c>
      <c r="D88" s="48">
        <f>G88</f>
        <v>1150000</v>
      </c>
      <c r="E88" s="49"/>
      <c r="F88" s="48">
        <f>G88</f>
        <v>1150000</v>
      </c>
      <c r="G88" s="44">
        <f>394000+50000+706000</f>
        <v>1150000</v>
      </c>
      <c r="H88" s="44">
        <f>35460.63+10503.8+270000+480000+309088+16597</f>
        <v>1121649.43</v>
      </c>
      <c r="I88" s="35">
        <f>H88/D88*100</f>
        <v>97.53473304347825</v>
      </c>
      <c r="J88" s="37">
        <f t="shared" si="14"/>
        <v>97.53473304347825</v>
      </c>
      <c r="L88" s="64">
        <f t="shared" si="11"/>
        <v>-28350.570000000065</v>
      </c>
      <c r="M88" s="69"/>
      <c r="N88" s="69"/>
      <c r="O88" s="69">
        <v>39400</v>
      </c>
      <c r="P88" s="69"/>
      <c r="Q88" s="69"/>
      <c r="R88" s="69">
        <f>53190</f>
        <v>53190</v>
      </c>
      <c r="S88" s="69">
        <f>301410</f>
        <v>301410</v>
      </c>
      <c r="T88" s="71"/>
      <c r="U88" s="69">
        <f>50000+392554.92</f>
        <v>442554.92</v>
      </c>
      <c r="V88" s="69">
        <f>275800-275800+313445.08</f>
        <v>313445.08</v>
      </c>
      <c r="W88" s="69"/>
      <c r="X88" s="69">
        <f>78800-78800</f>
        <v>0</v>
      </c>
      <c r="Y88" s="19">
        <f t="shared" si="12"/>
        <v>1150000</v>
      </c>
      <c r="Z88" s="54">
        <f t="shared" si="13"/>
        <v>0</v>
      </c>
    </row>
    <row r="89" spans="1:26" ht="25.5" customHeight="1" hidden="1">
      <c r="A89" s="1"/>
      <c r="B89" s="17"/>
      <c r="C89" s="47" t="s">
        <v>156</v>
      </c>
      <c r="D89" s="48">
        <f>G89</f>
        <v>0</v>
      </c>
      <c r="E89" s="49"/>
      <c r="F89" s="48">
        <f>G89</f>
        <v>0</v>
      </c>
      <c r="G89" s="44">
        <f>50000-50000</f>
        <v>0</v>
      </c>
      <c r="H89" s="21"/>
      <c r="I89" s="35"/>
      <c r="J89" s="37" t="e">
        <f t="shared" si="14"/>
        <v>#DIV/0!</v>
      </c>
      <c r="L89" s="64">
        <f t="shared" si="11"/>
        <v>0</v>
      </c>
      <c r="M89" s="69"/>
      <c r="N89" s="69"/>
      <c r="O89" s="69"/>
      <c r="P89" s="69"/>
      <c r="Q89" s="69"/>
      <c r="R89" s="69">
        <f>50000</f>
        <v>50000</v>
      </c>
      <c r="S89" s="69">
        <v>-50000</v>
      </c>
      <c r="T89" s="70"/>
      <c r="U89" s="69"/>
      <c r="V89" s="69"/>
      <c r="W89" s="69"/>
      <c r="X89" s="69"/>
      <c r="Y89" s="19">
        <f t="shared" si="12"/>
        <v>0</v>
      </c>
      <c r="Z89" s="54">
        <f t="shared" si="13"/>
        <v>0</v>
      </c>
    </row>
    <row r="90" spans="1:26" ht="26.25" customHeight="1" hidden="1">
      <c r="A90" s="1"/>
      <c r="B90" s="17"/>
      <c r="C90" s="47" t="s">
        <v>105</v>
      </c>
      <c r="D90" s="48">
        <f t="shared" si="8"/>
        <v>0</v>
      </c>
      <c r="E90" s="49"/>
      <c r="F90" s="48">
        <f t="shared" si="9"/>
        <v>0</v>
      </c>
      <c r="G90" s="44">
        <f>180000-180000</f>
        <v>0</v>
      </c>
      <c r="H90" s="21"/>
      <c r="I90" s="36" t="e">
        <f t="shared" si="10"/>
        <v>#DIV/0!</v>
      </c>
      <c r="J90" s="37" t="e">
        <f t="shared" si="14"/>
        <v>#DIV/0!</v>
      </c>
      <c r="L90" s="64">
        <f t="shared" si="11"/>
        <v>0</v>
      </c>
      <c r="M90" s="69"/>
      <c r="N90" s="69"/>
      <c r="O90" s="69">
        <v>18000</v>
      </c>
      <c r="P90" s="69"/>
      <c r="Q90" s="69">
        <v>-18000</v>
      </c>
      <c r="R90" s="69"/>
      <c r="S90" s="69"/>
      <c r="T90" s="70"/>
      <c r="U90" s="69"/>
      <c r="V90" s="69">
        <f>126000-126000</f>
        <v>0</v>
      </c>
      <c r="W90" s="69">
        <f>18000-18000</f>
        <v>0</v>
      </c>
      <c r="X90" s="69">
        <f>36000-36000</f>
        <v>0</v>
      </c>
      <c r="Y90" s="19">
        <f t="shared" si="12"/>
        <v>0</v>
      </c>
      <c r="Z90" s="54">
        <f t="shared" si="13"/>
        <v>0</v>
      </c>
    </row>
    <row r="91" spans="1:26" ht="26.25" customHeight="1" hidden="1">
      <c r="A91" s="1"/>
      <c r="B91" s="17"/>
      <c r="C91" s="47" t="s">
        <v>106</v>
      </c>
      <c r="D91" s="48">
        <f t="shared" si="8"/>
        <v>0</v>
      </c>
      <c r="E91" s="49"/>
      <c r="F91" s="48">
        <f t="shared" si="9"/>
        <v>0</v>
      </c>
      <c r="G91" s="44">
        <f>106000-106000</f>
        <v>0</v>
      </c>
      <c r="H91" s="21"/>
      <c r="I91" s="36" t="e">
        <f aca="true" t="shared" si="15" ref="I91:I146">H91/D91*100</f>
        <v>#DIV/0!</v>
      </c>
      <c r="J91" s="37" t="e">
        <f t="shared" si="14"/>
        <v>#DIV/0!</v>
      </c>
      <c r="L91" s="64">
        <f aca="true" t="shared" si="16" ref="L91:L146">H91-(M91+N91+O91+P91+Q91+R91+S91+T91+U91+V91+W91)</f>
        <v>0</v>
      </c>
      <c r="M91" s="69"/>
      <c r="N91" s="69"/>
      <c r="O91" s="69">
        <v>10600</v>
      </c>
      <c r="P91" s="69"/>
      <c r="Q91" s="69">
        <v>-10600</v>
      </c>
      <c r="R91" s="69"/>
      <c r="S91" s="69"/>
      <c r="T91" s="70"/>
      <c r="U91" s="69"/>
      <c r="V91" s="69">
        <f>74200-74200</f>
        <v>0</v>
      </c>
      <c r="W91" s="69">
        <f>10600-10600</f>
        <v>0</v>
      </c>
      <c r="X91" s="69">
        <f>21200-21200</f>
        <v>0</v>
      </c>
      <c r="Y91" s="19">
        <f t="shared" si="12"/>
        <v>0</v>
      </c>
      <c r="Z91" s="54">
        <f aca="true" t="shared" si="17" ref="Z91:Z146">Y91-D91</f>
        <v>0</v>
      </c>
    </row>
    <row r="92" spans="1:26" ht="26.25" customHeight="1">
      <c r="A92" s="1"/>
      <c r="B92" s="17"/>
      <c r="C92" s="47" t="s">
        <v>155</v>
      </c>
      <c r="D92" s="48">
        <f>G92</f>
        <v>700000</v>
      </c>
      <c r="E92" s="49"/>
      <c r="F92" s="48">
        <f>G92</f>
        <v>700000</v>
      </c>
      <c r="G92" s="44">
        <f>750000-50000</f>
        <v>700000</v>
      </c>
      <c r="H92" s="21"/>
      <c r="I92" s="36">
        <f>H92/D92*100</f>
        <v>0</v>
      </c>
      <c r="J92" s="37">
        <f t="shared" si="14"/>
        <v>0</v>
      </c>
      <c r="L92" s="64">
        <f t="shared" si="16"/>
        <v>-350000</v>
      </c>
      <c r="M92" s="69"/>
      <c r="N92" s="69"/>
      <c r="O92" s="69"/>
      <c r="P92" s="69"/>
      <c r="Q92" s="69"/>
      <c r="R92" s="69">
        <v>350000</v>
      </c>
      <c r="S92" s="69"/>
      <c r="T92" s="70"/>
      <c r="U92" s="69">
        <f>750000-750000</f>
        <v>0</v>
      </c>
      <c r="V92" s="69"/>
      <c r="W92" s="69"/>
      <c r="X92" s="69">
        <f>350000</f>
        <v>350000</v>
      </c>
      <c r="Y92" s="19">
        <f t="shared" si="12"/>
        <v>700000</v>
      </c>
      <c r="Z92" s="54">
        <f t="shared" si="17"/>
        <v>0</v>
      </c>
    </row>
    <row r="93" spans="1:26" ht="26.25" customHeight="1">
      <c r="A93" s="1"/>
      <c r="B93" s="17"/>
      <c r="C93" s="47" t="s">
        <v>107</v>
      </c>
      <c r="D93" s="48">
        <f>G93</f>
        <v>287000</v>
      </c>
      <c r="E93" s="49"/>
      <c r="F93" s="48">
        <f>G93</f>
        <v>287000</v>
      </c>
      <c r="G93" s="44">
        <f>232000+70000-15000</f>
        <v>287000</v>
      </c>
      <c r="H93" s="21">
        <f>19000</f>
        <v>19000</v>
      </c>
      <c r="I93" s="35">
        <f t="shared" si="15"/>
        <v>6.620209059233449</v>
      </c>
      <c r="J93" s="37">
        <f t="shared" si="14"/>
        <v>10.428100987925356</v>
      </c>
      <c r="L93" s="64">
        <f t="shared" si="16"/>
        <v>-163200</v>
      </c>
      <c r="M93" s="69"/>
      <c r="N93" s="69"/>
      <c r="O93" s="69">
        <v>23200</v>
      </c>
      <c r="P93" s="69"/>
      <c r="Q93" s="69">
        <v>-23200</v>
      </c>
      <c r="R93" s="69">
        <f>34800-34800</f>
        <v>0</v>
      </c>
      <c r="S93" s="69">
        <f>197200</f>
        <v>197200</v>
      </c>
      <c r="T93" s="70"/>
      <c r="U93" s="69"/>
      <c r="V93" s="69">
        <f>162400-162400</f>
        <v>0</v>
      </c>
      <c r="W93" s="69">
        <f>23200-23200-15000</f>
        <v>-15000</v>
      </c>
      <c r="X93" s="69">
        <f>46400-46400+34800+70000</f>
        <v>104800</v>
      </c>
      <c r="Y93" s="19">
        <f t="shared" si="12"/>
        <v>287000</v>
      </c>
      <c r="Z93" s="54">
        <f t="shared" si="17"/>
        <v>0</v>
      </c>
    </row>
    <row r="94" spans="1:26" ht="26.25" customHeight="1">
      <c r="A94" s="1"/>
      <c r="B94" s="17"/>
      <c r="C94" s="47" t="s">
        <v>108</v>
      </c>
      <c r="D94" s="48">
        <f>G94</f>
        <v>59000</v>
      </c>
      <c r="E94" s="49"/>
      <c r="F94" s="48">
        <f>G94</f>
        <v>59000</v>
      </c>
      <c r="G94" s="44">
        <f>603000-544000</f>
        <v>59000</v>
      </c>
      <c r="H94" s="21">
        <f>59000</f>
        <v>59000</v>
      </c>
      <c r="I94" s="35">
        <f t="shared" si="15"/>
        <v>100</v>
      </c>
      <c r="J94" s="37">
        <f t="shared" si="14"/>
        <v>146.42015138354634</v>
      </c>
      <c r="L94" s="64">
        <f t="shared" si="16"/>
        <v>18705</v>
      </c>
      <c r="M94" s="69"/>
      <c r="N94" s="69"/>
      <c r="O94" s="69">
        <v>60300</v>
      </c>
      <c r="P94" s="69"/>
      <c r="Q94" s="69"/>
      <c r="R94" s="69">
        <f>81405-141705</f>
        <v>-60300</v>
      </c>
      <c r="S94" s="69">
        <f>461295-360000</f>
        <v>101295</v>
      </c>
      <c r="T94" s="70">
        <f>271350-271350+360000</f>
        <v>360000</v>
      </c>
      <c r="U94" s="69">
        <f>-254528.47</f>
        <v>-254528.47</v>
      </c>
      <c r="V94" s="69">
        <f>254528.47</f>
        <v>254528.47</v>
      </c>
      <c r="W94" s="69">
        <f>271350-271350-421000</f>
        <v>-421000</v>
      </c>
      <c r="X94" s="69">
        <f>141705+421000</f>
        <v>562705</v>
      </c>
      <c r="Y94" s="19">
        <f aca="true" t="shared" si="18" ref="Y94:Y146">SUM(M94:X94)</f>
        <v>603000</v>
      </c>
      <c r="Z94" s="54">
        <f t="shared" si="17"/>
        <v>544000</v>
      </c>
    </row>
    <row r="95" spans="1:26" ht="26.25" customHeight="1">
      <c r="A95" s="1"/>
      <c r="B95" s="17"/>
      <c r="C95" s="47" t="s">
        <v>109</v>
      </c>
      <c r="D95" s="48">
        <f>G95</f>
        <v>878000</v>
      </c>
      <c r="E95" s="49"/>
      <c r="F95" s="48">
        <f>G95</f>
        <v>878000</v>
      </c>
      <c r="G95" s="44">
        <f>118000+193000+567000</f>
        <v>878000</v>
      </c>
      <c r="H95" s="21">
        <f>37000</f>
        <v>37000</v>
      </c>
      <c r="I95" s="35">
        <f t="shared" si="15"/>
        <v>4.214123006833713</v>
      </c>
      <c r="J95" s="37">
        <f t="shared" si="14"/>
        <v>15.55177269192779</v>
      </c>
      <c r="L95" s="64">
        <f t="shared" si="16"/>
        <v>-200915</v>
      </c>
      <c r="M95" s="69"/>
      <c r="N95" s="69"/>
      <c r="O95" s="69">
        <v>31100</v>
      </c>
      <c r="P95" s="69"/>
      <c r="Q95" s="69"/>
      <c r="R95" s="69">
        <f>41985-73085</f>
        <v>-31100</v>
      </c>
      <c r="S95" s="69">
        <f>237915-180000</f>
        <v>57915</v>
      </c>
      <c r="T95" s="70">
        <f>139950-139950+180000</f>
        <v>180000</v>
      </c>
      <c r="U95" s="69"/>
      <c r="V95" s="69"/>
      <c r="W95" s="69">
        <f>139950-139950</f>
        <v>0</v>
      </c>
      <c r="X95" s="69">
        <f>73085</f>
        <v>73085</v>
      </c>
      <c r="Y95" s="19">
        <f t="shared" si="18"/>
        <v>311000</v>
      </c>
      <c r="Z95" s="54">
        <f t="shared" si="17"/>
        <v>-567000</v>
      </c>
    </row>
    <row r="96" spans="1:26" ht="45" customHeight="1">
      <c r="A96" s="1"/>
      <c r="B96" s="17"/>
      <c r="C96" s="50" t="s">
        <v>34</v>
      </c>
      <c r="D96" s="21">
        <f>E96+F96</f>
        <v>450000</v>
      </c>
      <c r="E96" s="23"/>
      <c r="F96" s="21">
        <v>450000</v>
      </c>
      <c r="G96" s="75">
        <f>F96</f>
        <v>450000</v>
      </c>
      <c r="H96" s="21">
        <f>53000</f>
        <v>53000</v>
      </c>
      <c r="I96" s="35">
        <f t="shared" si="15"/>
        <v>11.777777777777777</v>
      </c>
      <c r="J96" s="37">
        <f aca="true" t="shared" si="19" ref="J96:J146">H96/(N96+O96+P96+Q96+R96+S96+T96+U96+V96+W96)*100</f>
        <v>11.777777777777777</v>
      </c>
      <c r="L96" s="64">
        <f t="shared" si="16"/>
        <v>-397000</v>
      </c>
      <c r="M96" s="69"/>
      <c r="N96" s="72">
        <v>450000</v>
      </c>
      <c r="O96" s="69"/>
      <c r="P96" s="69"/>
      <c r="Q96" s="69"/>
      <c r="R96" s="69"/>
      <c r="S96" s="69"/>
      <c r="T96" s="70"/>
      <c r="U96" s="69"/>
      <c r="V96" s="69"/>
      <c r="W96" s="69"/>
      <c r="X96" s="69"/>
      <c r="Y96" s="19">
        <f t="shared" si="18"/>
        <v>450000</v>
      </c>
      <c r="Z96" s="54">
        <f t="shared" si="17"/>
        <v>0</v>
      </c>
    </row>
    <row r="97" spans="1:26" ht="47.25" customHeight="1">
      <c r="A97" s="1"/>
      <c r="B97" s="17"/>
      <c r="C97" s="50" t="s">
        <v>33</v>
      </c>
      <c r="D97" s="21">
        <f>E97+F97</f>
        <v>240000</v>
      </c>
      <c r="E97" s="23"/>
      <c r="F97" s="21">
        <v>240000</v>
      </c>
      <c r="G97" s="75">
        <f>F97</f>
        <v>240000</v>
      </c>
      <c r="H97" s="21">
        <f>23000</f>
        <v>23000</v>
      </c>
      <c r="I97" s="35">
        <f t="shared" si="15"/>
        <v>9.583333333333334</v>
      </c>
      <c r="J97" s="37">
        <f t="shared" si="19"/>
        <v>9.583333333333334</v>
      </c>
      <c r="L97" s="64">
        <f t="shared" si="16"/>
        <v>-217000</v>
      </c>
      <c r="M97" s="69"/>
      <c r="N97" s="72">
        <v>240000</v>
      </c>
      <c r="O97" s="69"/>
      <c r="P97" s="69"/>
      <c r="Q97" s="69"/>
      <c r="R97" s="69"/>
      <c r="S97" s="69"/>
      <c r="T97" s="70"/>
      <c r="U97" s="69"/>
      <c r="V97" s="69"/>
      <c r="W97" s="69"/>
      <c r="X97" s="69"/>
      <c r="Y97" s="19">
        <f t="shared" si="18"/>
        <v>240000</v>
      </c>
      <c r="Z97" s="54">
        <f t="shared" si="17"/>
        <v>0</v>
      </c>
    </row>
    <row r="98" spans="1:26" ht="26.25" customHeight="1" hidden="1">
      <c r="A98" s="1"/>
      <c r="B98" s="17"/>
      <c r="C98" s="47" t="s">
        <v>164</v>
      </c>
      <c r="D98" s="21">
        <f>E98+F98</f>
        <v>0</v>
      </c>
      <c r="E98" s="23"/>
      <c r="F98" s="21">
        <f>G98</f>
        <v>0</v>
      </c>
      <c r="G98" s="75">
        <f>50000-50000</f>
        <v>0</v>
      </c>
      <c r="H98" s="21"/>
      <c r="I98" s="36"/>
      <c r="J98" s="37" t="e">
        <f t="shared" si="19"/>
        <v>#DIV/0!</v>
      </c>
      <c r="L98" s="64">
        <f t="shared" si="16"/>
        <v>0</v>
      </c>
      <c r="M98" s="69"/>
      <c r="N98" s="69"/>
      <c r="O98" s="69"/>
      <c r="P98" s="69">
        <f>5000</f>
        <v>5000</v>
      </c>
      <c r="Q98" s="69"/>
      <c r="R98" s="69"/>
      <c r="S98" s="69">
        <f>-5000</f>
        <v>-5000</v>
      </c>
      <c r="T98" s="70"/>
      <c r="U98" s="69">
        <f>35000-35000</f>
        <v>0</v>
      </c>
      <c r="V98" s="69"/>
      <c r="W98" s="69">
        <f>10000-10000</f>
        <v>0</v>
      </c>
      <c r="X98" s="69"/>
      <c r="Y98" s="19">
        <f t="shared" si="18"/>
        <v>0</v>
      </c>
      <c r="Z98" s="54">
        <f t="shared" si="17"/>
        <v>0</v>
      </c>
    </row>
    <row r="99" spans="1:26" ht="25.5" customHeight="1" hidden="1">
      <c r="A99" s="1"/>
      <c r="B99" s="17"/>
      <c r="C99" s="47" t="s">
        <v>110</v>
      </c>
      <c r="D99" s="48">
        <f aca="true" t="shared" si="20" ref="D99:D106">G99</f>
        <v>0</v>
      </c>
      <c r="E99" s="49"/>
      <c r="F99" s="48">
        <f aca="true" t="shared" si="21" ref="F99:F106">G99</f>
        <v>0</v>
      </c>
      <c r="G99" s="44">
        <f>580000-580000</f>
        <v>0</v>
      </c>
      <c r="H99" s="21"/>
      <c r="I99" s="36" t="e">
        <f t="shared" si="15"/>
        <v>#DIV/0!</v>
      </c>
      <c r="J99" s="37" t="e">
        <f t="shared" si="19"/>
        <v>#DIV/0!</v>
      </c>
      <c r="L99" s="64">
        <f t="shared" si="16"/>
        <v>0</v>
      </c>
      <c r="M99" s="69"/>
      <c r="N99" s="69"/>
      <c r="O99" s="69">
        <v>58000</v>
      </c>
      <c r="P99" s="69"/>
      <c r="Q99" s="69">
        <v>-58000</v>
      </c>
      <c r="R99" s="69"/>
      <c r="S99" s="69"/>
      <c r="T99" s="70"/>
      <c r="U99" s="69">
        <f>406000-406000</f>
        <v>0</v>
      </c>
      <c r="V99" s="69">
        <f>406000</f>
        <v>406000</v>
      </c>
      <c r="W99" s="69">
        <f>174000-580000</f>
        <v>-406000</v>
      </c>
      <c r="X99" s="69"/>
      <c r="Y99" s="19">
        <f t="shared" si="18"/>
        <v>0</v>
      </c>
      <c r="Z99" s="54">
        <f t="shared" si="17"/>
        <v>0</v>
      </c>
    </row>
    <row r="100" spans="1:26" ht="45" customHeight="1" hidden="1">
      <c r="A100" s="1"/>
      <c r="B100" s="17"/>
      <c r="C100" s="47" t="s">
        <v>111</v>
      </c>
      <c r="D100" s="48">
        <f t="shared" si="20"/>
        <v>0</v>
      </c>
      <c r="E100" s="49"/>
      <c r="F100" s="48">
        <f t="shared" si="21"/>
        <v>0</v>
      </c>
      <c r="G100" s="44">
        <f>133000-133000</f>
        <v>0</v>
      </c>
      <c r="H100" s="21"/>
      <c r="I100" s="36" t="e">
        <f t="shared" si="15"/>
        <v>#DIV/0!</v>
      </c>
      <c r="J100" s="37" t="e">
        <f t="shared" si="19"/>
        <v>#DIV/0!</v>
      </c>
      <c r="L100" s="64">
        <f t="shared" si="16"/>
        <v>0</v>
      </c>
      <c r="M100" s="69"/>
      <c r="N100" s="69"/>
      <c r="O100" s="69">
        <v>13300</v>
      </c>
      <c r="P100" s="69"/>
      <c r="Q100" s="69">
        <v>-13300</v>
      </c>
      <c r="R100" s="69">
        <f>19950</f>
        <v>19950</v>
      </c>
      <c r="S100" s="69">
        <f>113050</f>
        <v>113050</v>
      </c>
      <c r="T100" s="70">
        <f>-133000</f>
        <v>-133000</v>
      </c>
      <c r="U100" s="69">
        <f>93100-93100</f>
        <v>0</v>
      </c>
      <c r="V100" s="69"/>
      <c r="W100" s="69">
        <f>39900-39900</f>
        <v>0</v>
      </c>
      <c r="X100" s="69"/>
      <c r="Y100" s="19">
        <f t="shared" si="18"/>
        <v>0</v>
      </c>
      <c r="Z100" s="54">
        <f t="shared" si="17"/>
        <v>0</v>
      </c>
    </row>
    <row r="101" spans="1:26" ht="24" customHeight="1">
      <c r="A101" s="1"/>
      <c r="B101" s="17"/>
      <c r="C101" s="47" t="s">
        <v>112</v>
      </c>
      <c r="D101" s="48">
        <f t="shared" si="20"/>
        <v>29000</v>
      </c>
      <c r="E101" s="49"/>
      <c r="F101" s="48">
        <f t="shared" si="21"/>
        <v>29000</v>
      </c>
      <c r="G101" s="44">
        <f>133000-104000</f>
        <v>29000</v>
      </c>
      <c r="H101" s="21">
        <f>29000</f>
        <v>29000</v>
      </c>
      <c r="I101" s="35">
        <f t="shared" si="15"/>
        <v>100</v>
      </c>
      <c r="J101" s="37">
        <f t="shared" si="19"/>
        <v>21.804511278195488</v>
      </c>
      <c r="L101" s="64">
        <f t="shared" si="16"/>
        <v>-104000</v>
      </c>
      <c r="M101" s="69"/>
      <c r="N101" s="69"/>
      <c r="O101" s="69">
        <v>13300</v>
      </c>
      <c r="P101" s="69"/>
      <c r="Q101" s="69">
        <v>-13300</v>
      </c>
      <c r="R101" s="69"/>
      <c r="S101" s="69"/>
      <c r="T101" s="70"/>
      <c r="U101" s="69">
        <v>93100</v>
      </c>
      <c r="V101" s="69"/>
      <c r="W101" s="69">
        <v>39900</v>
      </c>
      <c r="X101" s="69"/>
      <c r="Y101" s="19">
        <f t="shared" si="18"/>
        <v>133000</v>
      </c>
      <c r="Z101" s="54">
        <f t="shared" si="17"/>
        <v>104000</v>
      </c>
    </row>
    <row r="102" spans="1:26" ht="25.5" customHeight="1" hidden="1">
      <c r="A102" s="1"/>
      <c r="B102" s="17"/>
      <c r="C102" s="47" t="s">
        <v>113</v>
      </c>
      <c r="D102" s="48">
        <f t="shared" si="20"/>
        <v>0</v>
      </c>
      <c r="E102" s="49"/>
      <c r="F102" s="48">
        <f t="shared" si="21"/>
        <v>0</v>
      </c>
      <c r="G102" s="44">
        <f>232000-232000</f>
        <v>0</v>
      </c>
      <c r="H102" s="21"/>
      <c r="I102" s="36" t="e">
        <f t="shared" si="15"/>
        <v>#DIV/0!</v>
      </c>
      <c r="J102" s="37" t="e">
        <f t="shared" si="19"/>
        <v>#DIV/0!</v>
      </c>
      <c r="L102" s="64">
        <f t="shared" si="16"/>
        <v>0</v>
      </c>
      <c r="M102" s="69"/>
      <c r="N102" s="69"/>
      <c r="O102" s="69">
        <v>23200</v>
      </c>
      <c r="P102" s="69"/>
      <c r="Q102" s="69">
        <v>-23200</v>
      </c>
      <c r="R102" s="69"/>
      <c r="S102" s="69"/>
      <c r="T102" s="70"/>
      <c r="U102" s="69">
        <f>162400-162400</f>
        <v>0</v>
      </c>
      <c r="V102" s="69"/>
      <c r="W102" s="69">
        <f>69600+75400-145000</f>
        <v>0</v>
      </c>
      <c r="X102" s="69">
        <f>87000-87000</f>
        <v>0</v>
      </c>
      <c r="Y102" s="19">
        <f t="shared" si="18"/>
        <v>0</v>
      </c>
      <c r="Z102" s="54">
        <f t="shared" si="17"/>
        <v>0</v>
      </c>
    </row>
    <row r="103" spans="1:26" ht="25.5" customHeight="1">
      <c r="A103" s="1"/>
      <c r="B103" s="17"/>
      <c r="C103" s="47" t="s">
        <v>114</v>
      </c>
      <c r="D103" s="48">
        <f t="shared" si="20"/>
        <v>19000</v>
      </c>
      <c r="E103" s="49"/>
      <c r="F103" s="48">
        <f t="shared" si="21"/>
        <v>19000</v>
      </c>
      <c r="G103" s="44">
        <f>133000-114000</f>
        <v>19000</v>
      </c>
      <c r="H103" s="21">
        <f>19000</f>
        <v>19000</v>
      </c>
      <c r="I103" s="35">
        <f t="shared" si="15"/>
        <v>100</v>
      </c>
      <c r="J103" s="37">
        <f t="shared" si="19"/>
        <v>14.285714285714285</v>
      </c>
      <c r="L103" s="64">
        <f t="shared" si="16"/>
        <v>-114000</v>
      </c>
      <c r="M103" s="69"/>
      <c r="N103" s="69"/>
      <c r="O103" s="69">
        <v>13300</v>
      </c>
      <c r="P103" s="69"/>
      <c r="Q103" s="69">
        <v>-13300</v>
      </c>
      <c r="R103" s="69"/>
      <c r="S103" s="69"/>
      <c r="T103" s="70"/>
      <c r="U103" s="69">
        <v>93100</v>
      </c>
      <c r="V103" s="69"/>
      <c r="W103" s="69">
        <v>39900</v>
      </c>
      <c r="X103" s="69"/>
      <c r="Y103" s="19">
        <f t="shared" si="18"/>
        <v>133000</v>
      </c>
      <c r="Z103" s="54">
        <f t="shared" si="17"/>
        <v>114000</v>
      </c>
    </row>
    <row r="104" spans="1:26" ht="27" customHeight="1">
      <c r="A104" s="1"/>
      <c r="B104" s="17"/>
      <c r="C104" s="47" t="s">
        <v>115</v>
      </c>
      <c r="D104" s="48">
        <f t="shared" si="20"/>
        <v>615100</v>
      </c>
      <c r="E104" s="49"/>
      <c r="F104" s="48">
        <f t="shared" si="21"/>
        <v>615100</v>
      </c>
      <c r="G104" s="44">
        <f>767000-151900</f>
        <v>615100</v>
      </c>
      <c r="H104" s="44">
        <f>32000+25000+400000+155501.4</f>
        <v>612501.4</v>
      </c>
      <c r="I104" s="35">
        <f t="shared" si="15"/>
        <v>99.57753210860022</v>
      </c>
      <c r="J104" s="37">
        <f t="shared" si="19"/>
        <v>99.92756124888838</v>
      </c>
      <c r="L104" s="64">
        <f t="shared" si="16"/>
        <v>-444.0100000000093</v>
      </c>
      <c r="M104" s="57"/>
      <c r="N104" s="57"/>
      <c r="O104" s="57">
        <v>76700</v>
      </c>
      <c r="P104" s="57">
        <f>400000-9653</f>
        <v>390347</v>
      </c>
      <c r="Q104" s="57">
        <v>147609</v>
      </c>
      <c r="R104" s="57">
        <f>-2154.59</f>
        <v>-2154.59</v>
      </c>
      <c r="S104" s="57"/>
      <c r="T104" s="59"/>
      <c r="U104" s="57">
        <f>536900-400000-67081-69819</f>
        <v>0</v>
      </c>
      <c r="V104" s="57"/>
      <c r="W104" s="57">
        <f>153400-75166-77790</f>
        <v>444</v>
      </c>
      <c r="X104" s="57">
        <f>2154.59</f>
        <v>2154.59</v>
      </c>
      <c r="Y104" s="19">
        <f t="shared" si="18"/>
        <v>615100</v>
      </c>
      <c r="Z104" s="54">
        <f t="shared" si="17"/>
        <v>0</v>
      </c>
    </row>
    <row r="105" spans="1:26" ht="25.5" customHeight="1">
      <c r="A105" s="1"/>
      <c r="B105" s="17"/>
      <c r="C105" s="47" t="s">
        <v>116</v>
      </c>
      <c r="D105" s="48">
        <f t="shared" si="20"/>
        <v>540731.53</v>
      </c>
      <c r="E105" s="49"/>
      <c r="F105" s="48">
        <f t="shared" si="21"/>
        <v>540731.53</v>
      </c>
      <c r="G105" s="44">
        <f>979000-438268.47</f>
        <v>540731.53</v>
      </c>
      <c r="H105" s="44">
        <f>28000+20000+360000+130576.93</f>
        <v>538576.9299999999</v>
      </c>
      <c r="I105" s="35">
        <f t="shared" si="15"/>
        <v>99.60153978814587</v>
      </c>
      <c r="J105" s="37">
        <f t="shared" si="19"/>
        <v>99.60153978814587</v>
      </c>
      <c r="L105" s="64">
        <f t="shared" si="16"/>
        <v>-2154.600000000093</v>
      </c>
      <c r="M105" s="57"/>
      <c r="N105" s="57"/>
      <c r="O105" s="57">
        <v>97900</v>
      </c>
      <c r="P105" s="57">
        <v>360000</v>
      </c>
      <c r="Q105" s="57">
        <v>132732</v>
      </c>
      <c r="R105" s="57">
        <f>-52055.07</f>
        <v>-52055.07</v>
      </c>
      <c r="S105" s="57"/>
      <c r="T105" s="59"/>
      <c r="U105" s="57">
        <f>685300-360000-132732-190413.4</f>
        <v>2154.600000000006</v>
      </c>
      <c r="V105" s="57"/>
      <c r="W105" s="57">
        <f>195800-195800</f>
        <v>0</v>
      </c>
      <c r="X105" s="57">
        <f>52055.07-52055.07</f>
        <v>0</v>
      </c>
      <c r="Y105" s="19">
        <f t="shared" si="18"/>
        <v>540731.53</v>
      </c>
      <c r="Z105" s="54">
        <f t="shared" si="17"/>
        <v>0</v>
      </c>
    </row>
    <row r="106" spans="1:26" ht="27" customHeight="1">
      <c r="A106" s="1"/>
      <c r="B106" s="17"/>
      <c r="C106" s="47" t="s">
        <v>117</v>
      </c>
      <c r="D106" s="48">
        <f t="shared" si="20"/>
        <v>786000</v>
      </c>
      <c r="E106" s="49"/>
      <c r="F106" s="48">
        <f t="shared" si="21"/>
        <v>786000</v>
      </c>
      <c r="G106" s="44">
        <f>560000-67000+133000+160000</f>
        <v>786000</v>
      </c>
      <c r="H106" s="44">
        <f>30355.2+405000</f>
        <v>435355.2</v>
      </c>
      <c r="I106" s="35">
        <f t="shared" si="15"/>
        <v>55.38870229007634</v>
      </c>
      <c r="J106" s="37">
        <f t="shared" si="19"/>
        <v>72.07867549668875</v>
      </c>
      <c r="L106" s="64">
        <f t="shared" si="16"/>
        <v>-168644.8</v>
      </c>
      <c r="M106" s="57"/>
      <c r="N106" s="57"/>
      <c r="O106" s="57">
        <v>56000</v>
      </c>
      <c r="P106" s="57">
        <f>504000-67000</f>
        <v>437000</v>
      </c>
      <c r="Q106" s="57">
        <v>-280341</v>
      </c>
      <c r="R106" s="57">
        <f>42051.15-50400</f>
        <v>-8348.849999999999</v>
      </c>
      <c r="S106" s="57">
        <f>238289.85</f>
        <v>238289.85</v>
      </c>
      <c r="T106" s="59">
        <f>133000</f>
        <v>133000</v>
      </c>
      <c r="U106" s="57">
        <f>392000-392000+202551-202551</f>
        <v>0</v>
      </c>
      <c r="V106" s="57">
        <f>28400</f>
        <v>28400</v>
      </c>
      <c r="W106" s="57">
        <f>112000-112000+77790-77790</f>
        <v>0</v>
      </c>
      <c r="X106" s="57">
        <f>22000</f>
        <v>22000</v>
      </c>
      <c r="Y106" s="19">
        <f t="shared" si="18"/>
        <v>626000</v>
      </c>
      <c r="Z106" s="54">
        <f t="shared" si="17"/>
        <v>-160000</v>
      </c>
    </row>
    <row r="107" spans="1:26" ht="43.5" customHeight="1" hidden="1">
      <c r="A107" s="1"/>
      <c r="B107" s="17"/>
      <c r="C107" s="50" t="s">
        <v>31</v>
      </c>
      <c r="D107" s="21">
        <f>E107+F107</f>
        <v>0</v>
      </c>
      <c r="E107" s="23"/>
      <c r="F107" s="21">
        <f>134745-134745</f>
        <v>0</v>
      </c>
      <c r="G107" s="75">
        <f>F107</f>
        <v>0</v>
      </c>
      <c r="H107" s="44"/>
      <c r="I107" s="36" t="e">
        <f t="shared" si="15"/>
        <v>#DIV/0!</v>
      </c>
      <c r="J107" s="37" t="e">
        <f t="shared" si="19"/>
        <v>#DIV/0!</v>
      </c>
      <c r="L107" s="64">
        <f t="shared" si="16"/>
        <v>0</v>
      </c>
      <c r="M107" s="69"/>
      <c r="N107" s="72">
        <v>134745</v>
      </c>
      <c r="O107" s="69"/>
      <c r="P107" s="69"/>
      <c r="Q107" s="69"/>
      <c r="R107" s="69"/>
      <c r="S107" s="69"/>
      <c r="T107" s="70">
        <f>-134745</f>
        <v>-134745</v>
      </c>
      <c r="U107" s="69"/>
      <c r="V107" s="69"/>
      <c r="W107" s="69"/>
      <c r="X107" s="69"/>
      <c r="Y107" s="19">
        <f t="shared" si="18"/>
        <v>0</v>
      </c>
      <c r="Z107" s="54">
        <f t="shared" si="17"/>
        <v>0</v>
      </c>
    </row>
    <row r="108" spans="1:26" ht="63" customHeight="1">
      <c r="A108" s="1"/>
      <c r="B108" s="17"/>
      <c r="C108" s="47" t="s">
        <v>194</v>
      </c>
      <c r="D108" s="48">
        <f aca="true" t="shared" si="22" ref="D108:D114">G108</f>
        <v>2650745</v>
      </c>
      <c r="E108" s="49"/>
      <c r="F108" s="48">
        <f aca="true" t="shared" si="23" ref="F108:F114">G108</f>
        <v>2650745</v>
      </c>
      <c r="G108" s="44">
        <f>2400000+116000+134745</f>
        <v>2650745</v>
      </c>
      <c r="H108" s="44">
        <f>86000+194000</f>
        <v>280000</v>
      </c>
      <c r="I108" s="35">
        <f t="shared" si="15"/>
        <v>10.56306811858553</v>
      </c>
      <c r="J108" s="37">
        <f t="shared" si="19"/>
        <v>18.093173381064847</v>
      </c>
      <c r="L108" s="64">
        <f t="shared" si="16"/>
        <v>-1267545</v>
      </c>
      <c r="M108" s="69"/>
      <c r="N108" s="69"/>
      <c r="O108" s="69">
        <v>240000</v>
      </c>
      <c r="P108" s="69">
        <f>11600</f>
        <v>11600</v>
      </c>
      <c r="Q108" s="69"/>
      <c r="R108" s="69">
        <f>28400</f>
        <v>28400</v>
      </c>
      <c r="S108" s="69"/>
      <c r="T108" s="70">
        <f>134745</f>
        <v>134745</v>
      </c>
      <c r="U108" s="69"/>
      <c r="V108" s="69">
        <f>81200-28400</f>
        <v>52800</v>
      </c>
      <c r="W108" s="69">
        <v>1080000</v>
      </c>
      <c r="X108" s="69">
        <f>1103200</f>
        <v>1103200</v>
      </c>
      <c r="Y108" s="19">
        <f t="shared" si="18"/>
        <v>2650745</v>
      </c>
      <c r="Z108" s="54">
        <f t="shared" si="17"/>
        <v>0</v>
      </c>
    </row>
    <row r="109" spans="1:26" ht="27" customHeight="1">
      <c r="A109" s="1"/>
      <c r="B109" s="17"/>
      <c r="C109" s="47" t="s">
        <v>118</v>
      </c>
      <c r="D109" s="48">
        <f t="shared" si="22"/>
        <v>192000</v>
      </c>
      <c r="E109" s="49"/>
      <c r="F109" s="48">
        <f t="shared" si="23"/>
        <v>192000</v>
      </c>
      <c r="G109" s="44">
        <f>2034000-1000000-842000</f>
        <v>192000</v>
      </c>
      <c r="H109" s="44">
        <f>57425.03+133991.74</f>
        <v>191416.77</v>
      </c>
      <c r="I109" s="35">
        <f t="shared" si="15"/>
        <v>99.69623437499999</v>
      </c>
      <c r="J109" s="37">
        <f t="shared" si="19"/>
        <v>35.75210496824804</v>
      </c>
      <c r="L109" s="64">
        <f t="shared" si="16"/>
        <v>-343983.23</v>
      </c>
      <c r="M109" s="69"/>
      <c r="N109" s="69"/>
      <c r="O109" s="69">
        <v>203400</v>
      </c>
      <c r="P109" s="69"/>
      <c r="Q109" s="69"/>
      <c r="R109" s="69"/>
      <c r="S109" s="69"/>
      <c r="T109" s="70"/>
      <c r="U109" s="69">
        <f>-3300</f>
        <v>-3300</v>
      </c>
      <c r="V109" s="69"/>
      <c r="W109" s="69">
        <f>915300-500000-80000</f>
        <v>335300</v>
      </c>
      <c r="X109" s="69">
        <f>915300+3300-500000+80000</f>
        <v>498600</v>
      </c>
      <c r="Y109" s="19">
        <f t="shared" si="18"/>
        <v>1034000</v>
      </c>
      <c r="Z109" s="54">
        <f t="shared" si="17"/>
        <v>842000</v>
      </c>
    </row>
    <row r="110" spans="1:26" ht="25.5" customHeight="1">
      <c r="A110" s="1"/>
      <c r="B110" s="17"/>
      <c r="C110" s="47" t="s">
        <v>119</v>
      </c>
      <c r="D110" s="48">
        <f t="shared" si="22"/>
        <v>3403763</v>
      </c>
      <c r="E110" s="49"/>
      <c r="F110" s="48">
        <f t="shared" si="23"/>
        <v>3403763</v>
      </c>
      <c r="G110" s="44">
        <f>2301000+1200000-97237</f>
        <v>3403763</v>
      </c>
      <c r="H110" s="44">
        <f>1100000+1156000+18212.82+1065275+3249</f>
        <v>3342736.82</v>
      </c>
      <c r="I110" s="35">
        <f t="shared" si="15"/>
        <v>98.20709667506226</v>
      </c>
      <c r="J110" s="37">
        <f t="shared" si="19"/>
        <v>99.99847432733556</v>
      </c>
      <c r="L110" s="64">
        <f t="shared" si="16"/>
        <v>-51</v>
      </c>
      <c r="M110" s="69"/>
      <c r="N110" s="69"/>
      <c r="O110" s="69">
        <f>1100000</f>
        <v>1100000</v>
      </c>
      <c r="P110" s="69">
        <f>2401000</f>
        <v>2401000</v>
      </c>
      <c r="Q110" s="69"/>
      <c r="R110" s="69">
        <f>-161512.18</f>
        <v>-161512.18</v>
      </c>
      <c r="S110" s="69"/>
      <c r="T110" s="70">
        <f>1100000-1100000</f>
        <v>0</v>
      </c>
      <c r="U110" s="69">
        <f>3300</f>
        <v>3300</v>
      </c>
      <c r="V110" s="69"/>
      <c r="W110" s="69">
        <f>1201000-1201000</f>
        <v>0</v>
      </c>
      <c r="X110" s="69">
        <f>161512.18-97237-3300</f>
        <v>60975.17999999999</v>
      </c>
      <c r="Y110" s="19">
        <f t="shared" si="18"/>
        <v>3403763</v>
      </c>
      <c r="Z110" s="54">
        <f t="shared" si="17"/>
        <v>0</v>
      </c>
    </row>
    <row r="111" spans="1:26" ht="25.5" customHeight="1">
      <c r="A111" s="1"/>
      <c r="B111" s="17"/>
      <c r="C111" s="47" t="s">
        <v>151</v>
      </c>
      <c r="D111" s="48">
        <f t="shared" si="22"/>
        <v>1579484.39</v>
      </c>
      <c r="E111" s="49"/>
      <c r="F111" s="48">
        <f t="shared" si="23"/>
        <v>1579484.39</v>
      </c>
      <c r="G111" s="44">
        <f>767000+528000+177000+107484.39</f>
        <v>1579484.39</v>
      </c>
      <c r="H111" s="44">
        <f>33000+26000+1050000+337396.91+20161.07+107484.39</f>
        <v>1574042.3699999999</v>
      </c>
      <c r="I111" s="35">
        <f t="shared" si="15"/>
        <v>99.65545591748457</v>
      </c>
      <c r="J111" s="37">
        <f t="shared" si="19"/>
        <v>99.65545591748457</v>
      </c>
      <c r="L111" s="64">
        <f t="shared" si="16"/>
        <v>-5442.020000000019</v>
      </c>
      <c r="M111" s="69"/>
      <c r="N111" s="69"/>
      <c r="O111" s="69">
        <v>76700</v>
      </c>
      <c r="P111" s="69">
        <f>1395300</f>
        <v>1395300</v>
      </c>
      <c r="Q111" s="69"/>
      <c r="R111" s="69"/>
      <c r="S111" s="69">
        <f>107484.39</f>
        <v>107484.39</v>
      </c>
      <c r="T111" s="70"/>
      <c r="U111" s="69"/>
      <c r="V111" s="69"/>
      <c r="W111" s="69"/>
      <c r="X111" s="69"/>
      <c r="Y111" s="19">
        <f t="shared" si="18"/>
        <v>1579484.39</v>
      </c>
      <c r="Z111" s="54">
        <f t="shared" si="17"/>
        <v>0</v>
      </c>
    </row>
    <row r="112" spans="1:26" ht="27" customHeight="1">
      <c r="A112" s="1"/>
      <c r="B112" s="17"/>
      <c r="C112" s="47" t="s">
        <v>120</v>
      </c>
      <c r="D112" s="48">
        <f t="shared" si="22"/>
        <v>169000</v>
      </c>
      <c r="E112" s="49"/>
      <c r="F112" s="48">
        <f t="shared" si="23"/>
        <v>169000</v>
      </c>
      <c r="G112" s="44">
        <f>367000-198000</f>
        <v>169000</v>
      </c>
      <c r="H112" s="44">
        <f>67000+51000+51000</f>
        <v>169000</v>
      </c>
      <c r="I112" s="35">
        <f t="shared" si="15"/>
        <v>100</v>
      </c>
      <c r="J112" s="37">
        <f t="shared" si="19"/>
        <v>100</v>
      </c>
      <c r="L112" s="64">
        <f t="shared" si="16"/>
        <v>0</v>
      </c>
      <c r="M112" s="69"/>
      <c r="N112" s="69"/>
      <c r="O112" s="69">
        <f>118000</f>
        <v>118000</v>
      </c>
      <c r="P112" s="69"/>
      <c r="Q112" s="69"/>
      <c r="R112" s="69">
        <f>249000-220000+22000</f>
        <v>51000</v>
      </c>
      <c r="S112" s="69"/>
      <c r="T112" s="70"/>
      <c r="U112" s="69">
        <f>36700-36700</f>
        <v>0</v>
      </c>
      <c r="V112" s="69">
        <f>256900-118000-138900</f>
        <v>0</v>
      </c>
      <c r="W112" s="69"/>
      <c r="X112" s="69">
        <f>73400-73400+220000-22000</f>
        <v>198000</v>
      </c>
      <c r="Y112" s="19">
        <f t="shared" si="18"/>
        <v>367000</v>
      </c>
      <c r="Z112" s="54">
        <f t="shared" si="17"/>
        <v>198000</v>
      </c>
    </row>
    <row r="113" spans="1:26" ht="28.5" customHeight="1">
      <c r="A113" s="1"/>
      <c r="B113" s="17"/>
      <c r="C113" s="47" t="s">
        <v>121</v>
      </c>
      <c r="D113" s="48">
        <f t="shared" si="22"/>
        <v>837000</v>
      </c>
      <c r="E113" s="49"/>
      <c r="F113" s="48">
        <f t="shared" si="23"/>
        <v>837000</v>
      </c>
      <c r="G113" s="44">
        <f>770000+67000</f>
        <v>837000</v>
      </c>
      <c r="H113" s="44">
        <f>21000+23000+763798.77+11597.8</f>
        <v>819396.5700000001</v>
      </c>
      <c r="I113" s="35">
        <f t="shared" si="15"/>
        <v>97.89684229390681</v>
      </c>
      <c r="J113" s="37">
        <f t="shared" si="19"/>
        <v>97.89684229390681</v>
      </c>
      <c r="L113" s="64">
        <f t="shared" si="16"/>
        <v>-17603.429999999935</v>
      </c>
      <c r="M113" s="69"/>
      <c r="N113" s="69"/>
      <c r="O113" s="69">
        <f>44000</f>
        <v>44000</v>
      </c>
      <c r="P113" s="69">
        <f>793000</f>
        <v>793000</v>
      </c>
      <c r="Q113" s="69"/>
      <c r="R113" s="69"/>
      <c r="S113" s="69"/>
      <c r="T113" s="70"/>
      <c r="U113" s="69"/>
      <c r="V113" s="69"/>
      <c r="W113" s="69"/>
      <c r="X113" s="69"/>
      <c r="Y113" s="19">
        <f t="shared" si="18"/>
        <v>837000</v>
      </c>
      <c r="Z113" s="54">
        <f t="shared" si="17"/>
        <v>0</v>
      </c>
    </row>
    <row r="114" spans="1:26" ht="21.75" customHeight="1">
      <c r="A114" s="1"/>
      <c r="B114" s="17"/>
      <c r="C114" s="47" t="s">
        <v>122</v>
      </c>
      <c r="D114" s="48">
        <f t="shared" si="22"/>
        <v>346468.69</v>
      </c>
      <c r="E114" s="49"/>
      <c r="F114" s="48">
        <f t="shared" si="23"/>
        <v>346468.69</v>
      </c>
      <c r="G114" s="44">
        <f>767000-467000+46468.69</f>
        <v>346468.69</v>
      </c>
      <c r="H114" s="44">
        <f>15000+11000+187000+117819.67</f>
        <v>330819.67</v>
      </c>
      <c r="I114" s="35">
        <f t="shared" si="15"/>
        <v>95.48328017749597</v>
      </c>
      <c r="J114" s="37">
        <f t="shared" si="19"/>
        <v>97.45218918422196</v>
      </c>
      <c r="L114" s="64">
        <f t="shared" si="16"/>
        <v>-8649.020000000019</v>
      </c>
      <c r="M114" s="69"/>
      <c r="N114" s="69"/>
      <c r="O114" s="69">
        <f>26000</f>
        <v>26000</v>
      </c>
      <c r="P114" s="69">
        <f>274000</f>
        <v>274000</v>
      </c>
      <c r="Q114" s="69"/>
      <c r="R114" s="69">
        <f>-270000</f>
        <v>-270000</v>
      </c>
      <c r="S114" s="69"/>
      <c r="T114" s="70"/>
      <c r="U114" s="69">
        <f>183000</f>
        <v>183000</v>
      </c>
      <c r="V114" s="69"/>
      <c r="W114" s="69">
        <f>46468.69+80000</f>
        <v>126468.69</v>
      </c>
      <c r="X114" s="69">
        <f>270000-183000-80000</f>
        <v>7000</v>
      </c>
      <c r="Y114" s="19">
        <f t="shared" si="18"/>
        <v>346468.69</v>
      </c>
      <c r="Z114" s="54">
        <f t="shared" si="17"/>
        <v>0</v>
      </c>
    </row>
    <row r="115" spans="1:26" ht="41.25" customHeight="1">
      <c r="A115" s="1"/>
      <c r="B115" s="17"/>
      <c r="C115" s="50" t="s">
        <v>32</v>
      </c>
      <c r="D115" s="21">
        <f>E115+F115</f>
        <v>70000</v>
      </c>
      <c r="E115" s="23"/>
      <c r="F115" s="21">
        <v>70000</v>
      </c>
      <c r="G115" s="75">
        <f>F115</f>
        <v>70000</v>
      </c>
      <c r="H115" s="21"/>
      <c r="I115" s="36">
        <f t="shared" si="15"/>
        <v>0</v>
      </c>
      <c r="J115" s="37">
        <f t="shared" si="19"/>
        <v>0</v>
      </c>
      <c r="L115" s="64">
        <f t="shared" si="16"/>
        <v>-70000</v>
      </c>
      <c r="M115" s="69"/>
      <c r="N115" s="72">
        <v>70000</v>
      </c>
      <c r="O115" s="69"/>
      <c r="P115" s="69"/>
      <c r="Q115" s="69"/>
      <c r="R115" s="69"/>
      <c r="S115" s="69"/>
      <c r="T115" s="70"/>
      <c r="U115" s="69"/>
      <c r="V115" s="69"/>
      <c r="W115" s="69"/>
      <c r="X115" s="69"/>
      <c r="Y115" s="19">
        <f t="shared" si="18"/>
        <v>70000</v>
      </c>
      <c r="Z115" s="54">
        <f t="shared" si="17"/>
        <v>0</v>
      </c>
    </row>
    <row r="116" spans="1:26" ht="38.25" customHeight="1">
      <c r="A116" s="1"/>
      <c r="B116" s="17"/>
      <c r="C116" s="47" t="s">
        <v>154</v>
      </c>
      <c r="D116" s="48">
        <f aca="true" t="shared" si="24" ref="D116:D146">G116</f>
        <v>1589000</v>
      </c>
      <c r="E116" s="49"/>
      <c r="F116" s="48">
        <f aca="true" t="shared" si="25" ref="F116:F146">G116</f>
        <v>1589000</v>
      </c>
      <c r="G116" s="44">
        <f>767000+151900+670100</f>
        <v>1589000</v>
      </c>
      <c r="H116" s="21">
        <f>68000+700000</f>
        <v>768000</v>
      </c>
      <c r="I116" s="35">
        <f t="shared" si="15"/>
        <v>48.332284455632475</v>
      </c>
      <c r="J116" s="37">
        <f t="shared" si="19"/>
        <v>99.9595476205723</v>
      </c>
      <c r="L116" s="64">
        <f t="shared" si="16"/>
        <v>-310.80000000004657</v>
      </c>
      <c r="M116" s="69"/>
      <c r="N116" s="69"/>
      <c r="O116" s="69"/>
      <c r="P116" s="69">
        <f>9653</f>
        <v>9653</v>
      </c>
      <c r="Q116" s="69"/>
      <c r="R116" s="69">
        <f>909247-722589.2</f>
        <v>186657.80000000005</v>
      </c>
      <c r="S116" s="69"/>
      <c r="T116" s="70">
        <f>76700-76700</f>
        <v>0</v>
      </c>
      <c r="U116" s="69">
        <f>67081-67081+572000</f>
        <v>572000</v>
      </c>
      <c r="V116" s="69">
        <f>536900-536900</f>
        <v>0</v>
      </c>
      <c r="W116" s="69">
        <f>75166-75166</f>
        <v>0</v>
      </c>
      <c r="X116" s="69">
        <f>153400-153400+722589.2-572000</f>
        <v>150589.19999999995</v>
      </c>
      <c r="Y116" s="19">
        <f t="shared" si="18"/>
        <v>918900</v>
      </c>
      <c r="Z116" s="54">
        <f t="shared" si="17"/>
        <v>-670100</v>
      </c>
    </row>
    <row r="117" spans="1:26" ht="21.75" customHeight="1">
      <c r="A117" s="1"/>
      <c r="B117" s="17"/>
      <c r="C117" s="47" t="s">
        <v>123</v>
      </c>
      <c r="D117" s="48">
        <f t="shared" si="24"/>
        <v>1409500</v>
      </c>
      <c r="E117" s="49"/>
      <c r="F117" s="48">
        <f t="shared" si="25"/>
        <v>1409500</v>
      </c>
      <c r="G117" s="44">
        <f>1473500-64000</f>
        <v>1409500</v>
      </c>
      <c r="H117" s="21">
        <f>1403890.61</f>
        <v>1403890.61</v>
      </c>
      <c r="I117" s="35">
        <f t="shared" si="15"/>
        <v>99.60202979780065</v>
      </c>
      <c r="J117" s="37">
        <f t="shared" si="19"/>
        <v>99.60202979780065</v>
      </c>
      <c r="L117" s="64">
        <f t="shared" si="16"/>
        <v>-5609.389999999898</v>
      </c>
      <c r="M117" s="69"/>
      <c r="N117" s="69"/>
      <c r="O117" s="69">
        <v>900000</v>
      </c>
      <c r="P117" s="69">
        <f>-900000</f>
        <v>-900000</v>
      </c>
      <c r="Q117" s="69"/>
      <c r="R117" s="69">
        <v>573500</v>
      </c>
      <c r="S117" s="57">
        <f>836000</f>
        <v>836000</v>
      </c>
      <c r="T117" s="59"/>
      <c r="U117" s="57"/>
      <c r="V117" s="57"/>
      <c r="W117" s="57">
        <f>900000-64000-836000</f>
        <v>0</v>
      </c>
      <c r="X117" s="57"/>
      <c r="Y117" s="19">
        <f t="shared" si="18"/>
        <v>1409500</v>
      </c>
      <c r="Z117" s="54">
        <f t="shared" si="17"/>
        <v>0</v>
      </c>
    </row>
    <row r="118" spans="1:26" ht="21.75" customHeight="1">
      <c r="A118" s="1"/>
      <c r="B118" s="17"/>
      <c r="C118" s="47" t="s">
        <v>199</v>
      </c>
      <c r="D118" s="48">
        <f t="shared" si="24"/>
        <v>1000000</v>
      </c>
      <c r="E118" s="49"/>
      <c r="F118" s="48">
        <f t="shared" si="25"/>
        <v>1000000</v>
      </c>
      <c r="G118" s="44">
        <v>1000000</v>
      </c>
      <c r="H118" s="21">
        <f>81507.2+418000</f>
        <v>499507.2</v>
      </c>
      <c r="I118" s="35">
        <f t="shared" si="15"/>
        <v>49.95072</v>
      </c>
      <c r="J118" s="37">
        <f t="shared" si="19"/>
        <v>99.90144</v>
      </c>
      <c r="L118" s="64">
        <f t="shared" si="16"/>
        <v>-492.79999999998836</v>
      </c>
      <c r="M118" s="69"/>
      <c r="N118" s="69"/>
      <c r="O118" s="69"/>
      <c r="P118" s="69"/>
      <c r="Q118" s="69"/>
      <c r="R118" s="69"/>
      <c r="S118" s="57"/>
      <c r="T118" s="59"/>
      <c r="U118" s="57"/>
      <c r="V118" s="57"/>
      <c r="W118" s="57">
        <f>500000</f>
        <v>500000</v>
      </c>
      <c r="X118" s="57">
        <f>500000</f>
        <v>500000</v>
      </c>
      <c r="Y118" s="19">
        <f t="shared" si="18"/>
        <v>1000000</v>
      </c>
      <c r="Z118" s="54">
        <f t="shared" si="17"/>
        <v>0</v>
      </c>
    </row>
    <row r="119" spans="1:26" ht="27.75" customHeight="1">
      <c r="A119" s="1"/>
      <c r="B119" s="17"/>
      <c r="C119" s="47" t="s">
        <v>124</v>
      </c>
      <c r="D119" s="48">
        <f t="shared" si="24"/>
        <v>6345598</v>
      </c>
      <c r="E119" s="49"/>
      <c r="F119" s="48">
        <f t="shared" si="25"/>
        <v>6345598</v>
      </c>
      <c r="G119" s="44">
        <f>4555598+290000+1500000</f>
        <v>6345598</v>
      </c>
      <c r="H119" s="44">
        <f>1339880+284982.79+729917+12975.28+802117+33772+1104914+333262+432700+1793.44+297957+607379.23</f>
        <v>5981649.74</v>
      </c>
      <c r="I119" s="35">
        <f t="shared" si="15"/>
        <v>94.26455536578271</v>
      </c>
      <c r="J119" s="37">
        <f t="shared" si="19"/>
        <v>94.26455536578271</v>
      </c>
      <c r="L119" s="64">
        <f t="shared" si="16"/>
        <v>-363948.2599999998</v>
      </c>
      <c r="M119" s="69"/>
      <c r="N119" s="69"/>
      <c r="O119" s="69">
        <v>2200000</v>
      </c>
      <c r="P119" s="69">
        <f>1190000</f>
        <v>1190000</v>
      </c>
      <c r="Q119" s="69"/>
      <c r="R119" s="69">
        <f>1455598</f>
        <v>1455598</v>
      </c>
      <c r="S119" s="69">
        <f>250000</f>
        <v>250000</v>
      </c>
      <c r="T119" s="70">
        <f>2355598-900000-1455598+609068-250000</f>
        <v>359068</v>
      </c>
      <c r="U119" s="69">
        <f>700000</f>
        <v>700000</v>
      </c>
      <c r="V119" s="69">
        <f>190932</f>
        <v>190932</v>
      </c>
      <c r="W119" s="69"/>
      <c r="X119" s="69"/>
      <c r="Y119" s="19">
        <f t="shared" si="18"/>
        <v>6345598</v>
      </c>
      <c r="Z119" s="54">
        <f t="shared" si="17"/>
        <v>0</v>
      </c>
    </row>
    <row r="120" spans="1:26" ht="31.5" customHeight="1">
      <c r="A120" s="1"/>
      <c r="B120" s="17"/>
      <c r="C120" s="47" t="s">
        <v>125</v>
      </c>
      <c r="D120" s="48">
        <f t="shared" si="24"/>
        <v>7148455</v>
      </c>
      <c r="E120" s="49"/>
      <c r="F120" s="48">
        <f t="shared" si="25"/>
        <v>7148455</v>
      </c>
      <c r="G120" s="44">
        <f>5206455+2000000-58000</f>
        <v>7148455</v>
      </c>
      <c r="H120" s="44">
        <f>2533359+1399329+550855.11+46763.54</f>
        <v>4530306.65</v>
      </c>
      <c r="I120" s="35">
        <f t="shared" si="15"/>
        <v>63.374626405286186</v>
      </c>
      <c r="J120" s="37">
        <f t="shared" si="19"/>
        <v>74.06222876442612</v>
      </c>
      <c r="L120" s="64">
        <f t="shared" si="16"/>
        <v>-1586585.4899999993</v>
      </c>
      <c r="M120" s="69"/>
      <c r="N120" s="69"/>
      <c r="O120" s="69">
        <v>2550000</v>
      </c>
      <c r="P120" s="69"/>
      <c r="Q120" s="69">
        <v>2656455</v>
      </c>
      <c r="R120" s="69"/>
      <c r="S120" s="69"/>
      <c r="T120" s="70"/>
      <c r="U120" s="69">
        <f>-530116</f>
        <v>-530116</v>
      </c>
      <c r="V120" s="69">
        <f>530116+835010.59</f>
        <v>1365126.5899999999</v>
      </c>
      <c r="W120" s="69">
        <f>75426.55</f>
        <v>75426.55</v>
      </c>
      <c r="X120" s="69">
        <f>1089562.86</f>
        <v>1089562.86</v>
      </c>
      <c r="Y120" s="19">
        <f t="shared" si="18"/>
        <v>7206455</v>
      </c>
      <c r="Z120" s="54">
        <f t="shared" si="17"/>
        <v>58000</v>
      </c>
    </row>
    <row r="121" spans="1:26" ht="33" customHeight="1">
      <c r="A121" s="1"/>
      <c r="B121" s="17"/>
      <c r="C121" s="47" t="s">
        <v>126</v>
      </c>
      <c r="D121" s="48">
        <f>G121</f>
        <v>7178629</v>
      </c>
      <c r="E121" s="49"/>
      <c r="F121" s="48">
        <f t="shared" si="25"/>
        <v>7178629</v>
      </c>
      <c r="G121" s="44">
        <f>4678629+2500000</f>
        <v>7178629</v>
      </c>
      <c r="H121" s="44">
        <f>2293500+165798+610526+474741+43668.72</f>
        <v>3588233.72</v>
      </c>
      <c r="I121" s="35">
        <f t="shared" si="15"/>
        <v>49.984944478952734</v>
      </c>
      <c r="J121" s="37">
        <f t="shared" si="19"/>
        <v>69.96477460155532</v>
      </c>
      <c r="L121" s="64">
        <f t="shared" si="16"/>
        <v>-1540395.2799999998</v>
      </c>
      <c r="M121" s="69"/>
      <c r="N121" s="69"/>
      <c r="O121" s="69"/>
      <c r="P121" s="69"/>
      <c r="Q121" s="69"/>
      <c r="R121" s="69"/>
      <c r="S121" s="57">
        <f>1790000-1790000</f>
        <v>0</v>
      </c>
      <c r="T121" s="59">
        <f>2300000</f>
        <v>2300000</v>
      </c>
      <c r="U121" s="57">
        <v>250000</v>
      </c>
      <c r="V121" s="57">
        <f>2378629-2300000</f>
        <v>78629</v>
      </c>
      <c r="W121" s="57">
        <f>2500000</f>
        <v>2500000</v>
      </c>
      <c r="X121" s="57">
        <f>260000+1790000</f>
        <v>2050000</v>
      </c>
      <c r="Y121" s="19">
        <f t="shared" si="18"/>
        <v>7178629</v>
      </c>
      <c r="Z121" s="54">
        <f t="shared" si="17"/>
        <v>0</v>
      </c>
    </row>
    <row r="122" spans="1:26" ht="26.25" customHeight="1">
      <c r="A122" s="1"/>
      <c r="B122" s="17"/>
      <c r="C122" s="47" t="s">
        <v>195</v>
      </c>
      <c r="D122" s="48">
        <f>G122</f>
        <v>100000</v>
      </c>
      <c r="E122" s="49"/>
      <c r="F122" s="48">
        <f>G122</f>
        <v>100000</v>
      </c>
      <c r="G122" s="44">
        <f>200000-100000</f>
        <v>100000</v>
      </c>
      <c r="H122" s="21"/>
      <c r="I122" s="36">
        <f>H122/D122*100</f>
        <v>0</v>
      </c>
      <c r="J122" s="37">
        <f t="shared" si="19"/>
        <v>0</v>
      </c>
      <c r="L122" s="64">
        <f t="shared" si="16"/>
        <v>-200000</v>
      </c>
      <c r="M122" s="69"/>
      <c r="N122" s="69"/>
      <c r="O122" s="69"/>
      <c r="P122" s="69"/>
      <c r="Q122" s="69"/>
      <c r="R122" s="69"/>
      <c r="S122" s="69">
        <v>20000</v>
      </c>
      <c r="T122" s="70">
        <v>140000</v>
      </c>
      <c r="U122" s="69"/>
      <c r="V122" s="69">
        <v>40000</v>
      </c>
      <c r="W122" s="69"/>
      <c r="X122" s="69"/>
      <c r="Y122" s="19">
        <f>SUM(M122:X122)</f>
        <v>200000</v>
      </c>
      <c r="Z122" s="54">
        <f>Y122-D122</f>
        <v>100000</v>
      </c>
    </row>
    <row r="123" spans="1:26" ht="28.5" customHeight="1">
      <c r="A123" s="1"/>
      <c r="B123" s="17"/>
      <c r="C123" s="47" t="s">
        <v>152</v>
      </c>
      <c r="D123" s="48">
        <f t="shared" si="24"/>
        <v>207000</v>
      </c>
      <c r="E123" s="49"/>
      <c r="F123" s="48">
        <f t="shared" si="25"/>
        <v>207000</v>
      </c>
      <c r="G123" s="44">
        <f>367000+76000-236000</f>
        <v>207000</v>
      </c>
      <c r="H123" s="44">
        <f>34000+24000+80000+69000</f>
        <v>207000</v>
      </c>
      <c r="I123" s="35">
        <f t="shared" si="15"/>
        <v>100</v>
      </c>
      <c r="J123" s="37">
        <f t="shared" si="19"/>
        <v>58.40857787810384</v>
      </c>
      <c r="L123" s="64">
        <f t="shared" si="16"/>
        <v>-147400</v>
      </c>
      <c r="M123" s="69"/>
      <c r="N123" s="69"/>
      <c r="O123" s="69">
        <f>58000</f>
        <v>58000</v>
      </c>
      <c r="P123" s="69">
        <f>7600</f>
        <v>7600</v>
      </c>
      <c r="Q123" s="69">
        <f>288800</f>
        <v>288800</v>
      </c>
      <c r="R123" s="69"/>
      <c r="S123" s="69"/>
      <c r="T123" s="70"/>
      <c r="U123" s="69">
        <f>36700-36700</f>
        <v>0</v>
      </c>
      <c r="V123" s="69">
        <f>252100-252100</f>
        <v>0</v>
      </c>
      <c r="W123" s="69"/>
      <c r="X123" s="69">
        <f>88600</f>
        <v>88600</v>
      </c>
      <c r="Y123" s="19">
        <f t="shared" si="18"/>
        <v>443000</v>
      </c>
      <c r="Z123" s="54">
        <f t="shared" si="17"/>
        <v>236000</v>
      </c>
    </row>
    <row r="124" spans="1:26" ht="28.5" customHeight="1" hidden="1">
      <c r="A124" s="1"/>
      <c r="B124" s="17"/>
      <c r="C124" s="47" t="s">
        <v>127</v>
      </c>
      <c r="D124" s="48">
        <f t="shared" si="24"/>
        <v>0</v>
      </c>
      <c r="E124" s="49"/>
      <c r="F124" s="48">
        <f t="shared" si="25"/>
        <v>0</v>
      </c>
      <c r="G124" s="44">
        <f>3829000-3829000</f>
        <v>0</v>
      </c>
      <c r="H124" s="44"/>
      <c r="I124" s="36" t="e">
        <f t="shared" si="15"/>
        <v>#DIV/0!</v>
      </c>
      <c r="J124" s="37">
        <f t="shared" si="19"/>
        <v>0</v>
      </c>
      <c r="L124" s="64">
        <f t="shared" si="16"/>
        <v>2.1827872842550278E-10</v>
      </c>
      <c r="M124" s="69"/>
      <c r="N124" s="69"/>
      <c r="O124" s="69"/>
      <c r="P124" s="69"/>
      <c r="Q124" s="69"/>
      <c r="R124" s="69"/>
      <c r="S124" s="57">
        <f>1800000-1800000</f>
        <v>0</v>
      </c>
      <c r="T124" s="59">
        <f>1800000-1800000</f>
        <v>0</v>
      </c>
      <c r="U124" s="57"/>
      <c r="V124" s="57">
        <f>2029000+1800000-3179707.24-98238-454000-97054.76</f>
        <v>-2.1827872842550278E-10</v>
      </c>
      <c r="W124" s="57">
        <f>3165057.24+98238+454000-3717295.24</f>
        <v>0</v>
      </c>
      <c r="X124" s="57">
        <f>14650-14650</f>
        <v>0</v>
      </c>
      <c r="Y124" s="19">
        <f t="shared" si="18"/>
        <v>-2.1827872842550278E-10</v>
      </c>
      <c r="Z124" s="54">
        <f t="shared" si="17"/>
        <v>-2.1827872842550278E-10</v>
      </c>
    </row>
    <row r="125" spans="1:26" ht="24" customHeight="1">
      <c r="A125" s="1"/>
      <c r="B125" s="17"/>
      <c r="C125" s="47" t="s">
        <v>128</v>
      </c>
      <c r="D125" s="48">
        <f t="shared" si="24"/>
        <v>3700000</v>
      </c>
      <c r="E125" s="49"/>
      <c r="F125" s="48">
        <f t="shared" si="25"/>
        <v>3700000</v>
      </c>
      <c r="G125" s="44">
        <v>3700000</v>
      </c>
      <c r="H125" s="44">
        <f>1800000+924034.8+42117.77</f>
        <v>2766152.57</v>
      </c>
      <c r="I125" s="35">
        <f t="shared" si="15"/>
        <v>74.76088027027026</v>
      </c>
      <c r="J125" s="37">
        <f t="shared" si="19"/>
        <v>74.76088027027026</v>
      </c>
      <c r="L125" s="64">
        <f t="shared" si="16"/>
        <v>-933847.4300000002</v>
      </c>
      <c r="M125" s="69"/>
      <c r="N125" s="69"/>
      <c r="O125" s="69">
        <v>1800000</v>
      </c>
      <c r="P125" s="69"/>
      <c r="Q125" s="69"/>
      <c r="R125" s="69">
        <f>1900000-1900000</f>
        <v>0</v>
      </c>
      <c r="S125" s="69"/>
      <c r="T125" s="70">
        <f>1900000-944096.89</f>
        <v>955903.11</v>
      </c>
      <c r="U125" s="69">
        <f>58503.89</f>
        <v>58503.89</v>
      </c>
      <c r="V125" s="69">
        <f>885593</f>
        <v>885593</v>
      </c>
      <c r="W125" s="69"/>
      <c r="X125" s="69"/>
      <c r="Y125" s="19">
        <f t="shared" si="18"/>
        <v>3700000</v>
      </c>
      <c r="Z125" s="54">
        <f t="shared" si="17"/>
        <v>0</v>
      </c>
    </row>
    <row r="126" spans="1:26" ht="24" customHeight="1">
      <c r="A126" s="1"/>
      <c r="B126" s="17"/>
      <c r="C126" s="47" t="s">
        <v>129</v>
      </c>
      <c r="D126" s="48">
        <f t="shared" si="24"/>
        <v>481000</v>
      </c>
      <c r="E126" s="49"/>
      <c r="F126" s="48">
        <f t="shared" si="25"/>
        <v>481000</v>
      </c>
      <c r="G126" s="44">
        <f>400000+116000-35000</f>
        <v>481000</v>
      </c>
      <c r="H126" s="44">
        <f>173000+308000</f>
        <v>481000</v>
      </c>
      <c r="I126" s="35">
        <f t="shared" si="15"/>
        <v>100</v>
      </c>
      <c r="J126" s="37">
        <f t="shared" si="19"/>
        <v>93.21705426356588</v>
      </c>
      <c r="L126" s="64">
        <f t="shared" si="16"/>
        <v>-35000</v>
      </c>
      <c r="M126" s="69"/>
      <c r="N126" s="69"/>
      <c r="O126" s="57">
        <v>200000</v>
      </c>
      <c r="P126" s="57"/>
      <c r="Q126" s="57">
        <v>200000</v>
      </c>
      <c r="R126" s="57">
        <v>81600</v>
      </c>
      <c r="S126" s="57"/>
      <c r="T126" s="59"/>
      <c r="U126" s="57">
        <f>200000-200000</f>
        <v>0</v>
      </c>
      <c r="V126" s="57"/>
      <c r="W126" s="57">
        <v>34400</v>
      </c>
      <c r="X126" s="57"/>
      <c r="Y126" s="19">
        <f t="shared" si="18"/>
        <v>516000</v>
      </c>
      <c r="Z126" s="54">
        <f t="shared" si="17"/>
        <v>35000</v>
      </c>
    </row>
    <row r="127" spans="1:26" ht="28.5" customHeight="1">
      <c r="A127" s="1"/>
      <c r="B127" s="17"/>
      <c r="C127" s="47" t="s">
        <v>130</v>
      </c>
      <c r="D127" s="48">
        <f t="shared" si="24"/>
        <v>6986700</v>
      </c>
      <c r="E127" s="49"/>
      <c r="F127" s="48">
        <f t="shared" si="25"/>
        <v>6986700</v>
      </c>
      <c r="G127" s="44">
        <f>5981700+760903.11+244096.89</f>
        <v>6986700</v>
      </c>
      <c r="H127" s="42">
        <f>2873000+2837862.43-2308122.56+2529936.44+8790.07+998598.16</f>
        <v>6940064.54</v>
      </c>
      <c r="I127" s="35">
        <f t="shared" si="15"/>
        <v>99.33251091359297</v>
      </c>
      <c r="J127" s="37">
        <f t="shared" si="19"/>
        <v>99.33251091359297</v>
      </c>
      <c r="L127" s="64">
        <f t="shared" si="16"/>
        <v>-46635.45999999996</v>
      </c>
      <c r="M127" s="69"/>
      <c r="N127" s="69"/>
      <c r="O127" s="57">
        <v>3290879</v>
      </c>
      <c r="P127" s="57">
        <f>860036+1603380.33</f>
        <v>2463416.33</v>
      </c>
      <c r="Q127" s="57">
        <f>506858-279453.33</f>
        <v>227404.66999999998</v>
      </c>
      <c r="R127" s="57">
        <f>600000-600000</f>
        <v>0</v>
      </c>
      <c r="S127" s="57">
        <f>600000-600000</f>
        <v>0</v>
      </c>
      <c r="T127" s="59">
        <f>123927-123927+760903.11+244096.89</f>
        <v>1005000</v>
      </c>
      <c r="U127" s="57">
        <f>58503.89-58503.89</f>
        <v>0</v>
      </c>
      <c r="V127" s="57">
        <f>185593-185593</f>
        <v>0</v>
      </c>
      <c r="W127" s="57"/>
      <c r="X127" s="57"/>
      <c r="Y127" s="19">
        <f t="shared" si="18"/>
        <v>6986700</v>
      </c>
      <c r="Z127" s="54">
        <f t="shared" si="17"/>
        <v>0</v>
      </c>
    </row>
    <row r="128" spans="1:26" ht="26.25" customHeight="1" hidden="1">
      <c r="A128" s="1"/>
      <c r="B128" s="17"/>
      <c r="C128" s="47" t="s">
        <v>131</v>
      </c>
      <c r="D128" s="48">
        <f t="shared" si="24"/>
        <v>0</v>
      </c>
      <c r="E128" s="49"/>
      <c r="F128" s="48">
        <f t="shared" si="25"/>
        <v>0</v>
      </c>
      <c r="G128" s="44">
        <f>935000-935000</f>
        <v>0</v>
      </c>
      <c r="H128" s="44" t="s">
        <v>144</v>
      </c>
      <c r="I128" s="36" t="e">
        <f t="shared" si="15"/>
        <v>#VALUE!</v>
      </c>
      <c r="J128" s="37" t="e">
        <f t="shared" si="19"/>
        <v>#VALUE!</v>
      </c>
      <c r="L128" s="64" t="e">
        <f t="shared" si="16"/>
        <v>#VALUE!</v>
      </c>
      <c r="M128" s="69"/>
      <c r="N128" s="69"/>
      <c r="O128" s="69">
        <v>47500</v>
      </c>
      <c r="P128" s="69"/>
      <c r="Q128" s="69"/>
      <c r="R128" s="69"/>
      <c r="S128" s="69">
        <f>466750-400000</f>
        <v>66750</v>
      </c>
      <c r="T128" s="69">
        <f>400000-483778.47-30471.53</f>
        <v>-114249.99999999997</v>
      </c>
      <c r="U128" s="69">
        <f>420750-292000-128750</f>
        <v>0</v>
      </c>
      <c r="V128" s="69">
        <f>775778.47-775778.47</f>
        <v>0</v>
      </c>
      <c r="W128" s="69"/>
      <c r="X128" s="69"/>
      <c r="Y128" s="19">
        <f t="shared" si="18"/>
        <v>2.9103830456733704E-11</v>
      </c>
      <c r="Z128" s="54">
        <f t="shared" si="17"/>
        <v>2.9103830456733704E-11</v>
      </c>
    </row>
    <row r="129" spans="1:26" ht="26.25" customHeight="1">
      <c r="A129" s="1"/>
      <c r="B129" s="17"/>
      <c r="C129" s="47" t="s">
        <v>132</v>
      </c>
      <c r="D129" s="48">
        <f t="shared" si="24"/>
        <v>678941.74</v>
      </c>
      <c r="E129" s="49"/>
      <c r="F129" s="48">
        <f t="shared" si="25"/>
        <v>678941.74</v>
      </c>
      <c r="G129" s="44">
        <f>1460000-100000-284733.25-396325.01</f>
        <v>678941.74</v>
      </c>
      <c r="H129" s="44">
        <f>29000+21000+500000+126781.74</f>
        <v>676781.74</v>
      </c>
      <c r="I129" s="35">
        <f t="shared" si="15"/>
        <v>99.68185782774233</v>
      </c>
      <c r="J129" s="37">
        <f t="shared" si="19"/>
        <v>62.94082282373188</v>
      </c>
      <c r="L129" s="64">
        <f t="shared" si="16"/>
        <v>-398485.01</v>
      </c>
      <c r="M129" s="69"/>
      <c r="N129" s="69"/>
      <c r="O129" s="69">
        <v>73000</v>
      </c>
      <c r="P129" s="69"/>
      <c r="Q129" s="69"/>
      <c r="R129" s="69"/>
      <c r="S129" s="69">
        <v>730000</v>
      </c>
      <c r="T129" s="69"/>
      <c r="U129" s="69">
        <f>657000-100000-284733.25</f>
        <v>272266.75</v>
      </c>
      <c r="V129" s="69"/>
      <c r="W129" s="69"/>
      <c r="X129" s="69"/>
      <c r="Y129" s="19">
        <f t="shared" si="18"/>
        <v>1075266.75</v>
      </c>
      <c r="Z129" s="54">
        <f t="shared" si="17"/>
        <v>396325.01</v>
      </c>
    </row>
    <row r="130" spans="1:26" ht="26.25" customHeight="1">
      <c r="A130" s="1"/>
      <c r="B130" s="17"/>
      <c r="C130" s="47" t="s">
        <v>133</v>
      </c>
      <c r="D130" s="48">
        <f t="shared" si="24"/>
        <v>1019321.11</v>
      </c>
      <c r="E130" s="49"/>
      <c r="F130" s="48">
        <f t="shared" si="25"/>
        <v>1019321.11</v>
      </c>
      <c r="G130" s="44">
        <f>1534000-513000-1678.89</f>
        <v>1019321.11</v>
      </c>
      <c r="H130" s="44">
        <f>81000+59000+700000+177161.11</f>
        <v>1017161.11</v>
      </c>
      <c r="I130" s="35">
        <f t="shared" si="15"/>
        <v>99.78809425422376</v>
      </c>
      <c r="J130" s="37">
        <f t="shared" si="19"/>
        <v>99.6240068560235</v>
      </c>
      <c r="L130" s="64">
        <f t="shared" si="16"/>
        <v>-3838.890000000014</v>
      </c>
      <c r="M130" s="69"/>
      <c r="N130" s="69"/>
      <c r="O130" s="69">
        <f>72400+67600</f>
        <v>140000</v>
      </c>
      <c r="P130" s="69"/>
      <c r="Q130" s="69"/>
      <c r="R130" s="69"/>
      <c r="S130" s="69">
        <f>771300-67600</f>
        <v>703700</v>
      </c>
      <c r="T130" s="69"/>
      <c r="U130" s="69">
        <f>690300-513000</f>
        <v>177300</v>
      </c>
      <c r="V130" s="69"/>
      <c r="W130" s="69"/>
      <c r="X130" s="69"/>
      <c r="Y130" s="19">
        <f t="shared" si="18"/>
        <v>1021000</v>
      </c>
      <c r="Z130" s="54">
        <f t="shared" si="17"/>
        <v>1678.890000000014</v>
      </c>
    </row>
    <row r="131" spans="1:26" ht="26.25" customHeight="1">
      <c r="A131" s="1"/>
      <c r="B131" s="17"/>
      <c r="C131" s="47" t="s">
        <v>170</v>
      </c>
      <c r="D131" s="48">
        <f>G131</f>
        <v>70000</v>
      </c>
      <c r="E131" s="49"/>
      <c r="F131" s="48">
        <f>G131</f>
        <v>70000</v>
      </c>
      <c r="G131" s="44">
        <f>210000-110000-30000</f>
        <v>70000</v>
      </c>
      <c r="H131" s="21"/>
      <c r="I131" s="36">
        <f>H131/D131*100</f>
        <v>0</v>
      </c>
      <c r="J131" s="37">
        <f t="shared" si="19"/>
        <v>0</v>
      </c>
      <c r="L131" s="64">
        <f t="shared" si="16"/>
        <v>-100000</v>
      </c>
      <c r="M131" s="69"/>
      <c r="N131" s="69"/>
      <c r="O131" s="69"/>
      <c r="P131" s="69"/>
      <c r="Q131" s="69"/>
      <c r="R131" s="69"/>
      <c r="S131" s="69">
        <v>21000</v>
      </c>
      <c r="T131" s="69">
        <v>79000</v>
      </c>
      <c r="U131" s="69"/>
      <c r="V131" s="69">
        <f>42000-42000</f>
        <v>0</v>
      </c>
      <c r="W131" s="69"/>
      <c r="X131" s="69"/>
      <c r="Y131" s="19">
        <f t="shared" si="18"/>
        <v>100000</v>
      </c>
      <c r="Z131" s="54">
        <f t="shared" si="17"/>
        <v>30000</v>
      </c>
    </row>
    <row r="132" spans="1:26" ht="26.25" customHeight="1">
      <c r="A132" s="1"/>
      <c r="B132" s="17"/>
      <c r="C132" s="47" t="s">
        <v>134</v>
      </c>
      <c r="D132" s="48">
        <f t="shared" si="24"/>
        <v>14747568</v>
      </c>
      <c r="E132" s="49"/>
      <c r="F132" s="48">
        <f t="shared" si="25"/>
        <v>14747568</v>
      </c>
      <c r="G132" s="44">
        <f>12352000-767000+2227568+935000</f>
        <v>14747568</v>
      </c>
      <c r="H132" s="44">
        <f>159000+364000+191373.72+137000+127000+2799619.35+230144.75+309727.82+3000000+700000+582880.42+1060000+31000+982087.2+579276.89+42355.8+12863.92</f>
        <v>11308329.870000001</v>
      </c>
      <c r="I132" s="35">
        <f t="shared" si="15"/>
        <v>76.67928617111649</v>
      </c>
      <c r="J132" s="37">
        <f t="shared" si="19"/>
        <v>78.60035625524496</v>
      </c>
      <c r="L132" s="64">
        <f t="shared" si="16"/>
        <v>-3078793.049999999</v>
      </c>
      <c r="M132" s="69"/>
      <c r="N132" s="69"/>
      <c r="O132" s="69">
        <f>4423300-3920000+3920000-105000-1100000-313600</f>
        <v>2904700</v>
      </c>
      <c r="P132" s="69">
        <f>-1363380.33</f>
        <v>-1363380.33</v>
      </c>
      <c r="Q132" s="69">
        <f>279453.33+2552462</f>
        <v>2831915.33</v>
      </c>
      <c r="R132" s="69">
        <f>600000-600000</f>
        <v>0</v>
      </c>
      <c r="S132" s="57">
        <f>419862+105000+67600+360000-952462+3590000+540000+1650000-836000-250000</f>
        <v>4694000</v>
      </c>
      <c r="T132" s="57">
        <f>2618790+1100000+123927-1000000-1800000-540000+1100000+250000+700000</f>
        <v>2552717</v>
      </c>
      <c r="U132" s="57">
        <f>199004+202000-882800</f>
        <v>-481796</v>
      </c>
      <c r="V132" s="57">
        <f>28348+246000+439068-700000+41554.92+310800</f>
        <v>365770.92</v>
      </c>
      <c r="W132" s="57">
        <f>1472356+3920000-3920000-1016660+688500+836000+331000+572000</f>
        <v>2883196</v>
      </c>
      <c r="X132" s="57">
        <f>2423340-1790000-633340+360445.08</f>
        <v>360445.08</v>
      </c>
      <c r="Y132" s="19">
        <f t="shared" si="18"/>
        <v>14747568</v>
      </c>
      <c r="Z132" s="54">
        <f t="shared" si="17"/>
        <v>0</v>
      </c>
    </row>
    <row r="133" spans="1:26" ht="26.25" customHeight="1">
      <c r="A133" s="1"/>
      <c r="B133" s="17"/>
      <c r="C133" s="47" t="s">
        <v>135</v>
      </c>
      <c r="D133" s="48">
        <f t="shared" si="24"/>
        <v>4013246.8</v>
      </c>
      <c r="E133" s="49"/>
      <c r="F133" s="48">
        <f t="shared" si="25"/>
        <v>4013246.8</v>
      </c>
      <c r="G133" s="44">
        <f>700000+2500000+523800+289446.8</f>
        <v>4013246.8</v>
      </c>
      <c r="H133" s="44">
        <f>178841+107000+461139+64000+76646.85+89000+1400000-251377+120837.08+251377+3138.13+398941.05+19830.04+106256.13+9283.81</f>
        <v>3034913.09</v>
      </c>
      <c r="I133" s="35">
        <f t="shared" si="15"/>
        <v>75.62238858572067</v>
      </c>
      <c r="J133" s="37">
        <f t="shared" si="19"/>
        <v>75.62238858572067</v>
      </c>
      <c r="L133" s="64">
        <f t="shared" si="16"/>
        <v>-978333.71</v>
      </c>
      <c r="M133" s="69"/>
      <c r="N133" s="69"/>
      <c r="O133" s="69">
        <v>1700000</v>
      </c>
      <c r="P133" s="69">
        <f>400000-1000000</f>
        <v>-600000</v>
      </c>
      <c r="Q133" s="69">
        <f>350000+990000</f>
        <v>1340000</v>
      </c>
      <c r="R133" s="69">
        <f>400000-400000</f>
        <v>0</v>
      </c>
      <c r="S133" s="69">
        <f>350000+240000-590000</f>
        <v>0</v>
      </c>
      <c r="T133" s="69">
        <f>523800</f>
        <v>523800</v>
      </c>
      <c r="U133" s="69">
        <f>760000+211341.73</f>
        <v>971341.73</v>
      </c>
      <c r="V133" s="69">
        <f>78105.07</f>
        <v>78105.07</v>
      </c>
      <c r="W133" s="69"/>
      <c r="X133" s="69"/>
      <c r="Y133" s="19">
        <f t="shared" si="18"/>
        <v>4013246.8</v>
      </c>
      <c r="Z133" s="54">
        <f t="shared" si="17"/>
        <v>0</v>
      </c>
    </row>
    <row r="134" spans="1:26" ht="26.25" customHeight="1">
      <c r="A134" s="1"/>
      <c r="B134" s="17"/>
      <c r="C134" s="47" t="s">
        <v>136</v>
      </c>
      <c r="D134" s="48">
        <f t="shared" si="24"/>
        <v>33000</v>
      </c>
      <c r="E134" s="49"/>
      <c r="F134" s="48">
        <f t="shared" si="25"/>
        <v>33000</v>
      </c>
      <c r="G134" s="44">
        <v>33000</v>
      </c>
      <c r="H134" s="44"/>
      <c r="I134" s="36">
        <f t="shared" si="15"/>
        <v>0</v>
      </c>
      <c r="J134" s="37">
        <f t="shared" si="19"/>
        <v>0</v>
      </c>
      <c r="L134" s="64">
        <f t="shared" si="16"/>
        <v>-33000</v>
      </c>
      <c r="M134" s="69"/>
      <c r="N134" s="69"/>
      <c r="O134" s="69">
        <v>33000</v>
      </c>
      <c r="P134" s="69"/>
      <c r="Q134" s="69"/>
      <c r="R134" s="69"/>
      <c r="S134" s="69"/>
      <c r="T134" s="69"/>
      <c r="U134" s="69"/>
      <c r="V134" s="69"/>
      <c r="W134" s="69"/>
      <c r="X134" s="69"/>
      <c r="Y134" s="19">
        <f t="shared" si="18"/>
        <v>33000</v>
      </c>
      <c r="Z134" s="54">
        <f t="shared" si="17"/>
        <v>0</v>
      </c>
    </row>
    <row r="135" spans="1:26" ht="26.25" customHeight="1">
      <c r="A135" s="1"/>
      <c r="B135" s="17"/>
      <c r="C135" s="47" t="s">
        <v>137</v>
      </c>
      <c r="D135" s="48">
        <f t="shared" si="24"/>
        <v>720000</v>
      </c>
      <c r="E135" s="49"/>
      <c r="F135" s="48">
        <f t="shared" si="25"/>
        <v>720000</v>
      </c>
      <c r="G135" s="44">
        <f>116000+604000</f>
        <v>720000</v>
      </c>
      <c r="H135" s="21">
        <f>34936</f>
        <v>34936</v>
      </c>
      <c r="I135" s="35">
        <f t="shared" si="15"/>
        <v>4.852222222222222</v>
      </c>
      <c r="J135" s="37">
        <f t="shared" si="19"/>
        <v>30.117241379310343</v>
      </c>
      <c r="L135" s="64">
        <f t="shared" si="16"/>
        <v>-81064</v>
      </c>
      <c r="M135" s="69"/>
      <c r="N135" s="69"/>
      <c r="O135" s="69"/>
      <c r="P135" s="69"/>
      <c r="Q135" s="69"/>
      <c r="R135" s="69"/>
      <c r="S135" s="69"/>
      <c r="T135" s="69"/>
      <c r="U135" s="69">
        <v>116000</v>
      </c>
      <c r="V135" s="69"/>
      <c r="W135" s="69"/>
      <c r="X135" s="69"/>
      <c r="Y135" s="19">
        <f t="shared" si="18"/>
        <v>116000</v>
      </c>
      <c r="Z135" s="54">
        <f t="shared" si="17"/>
        <v>-604000</v>
      </c>
    </row>
    <row r="136" spans="1:26" ht="26.25" customHeight="1">
      <c r="A136" s="1"/>
      <c r="B136" s="17"/>
      <c r="C136" s="47" t="s">
        <v>171</v>
      </c>
      <c r="D136" s="48">
        <f t="shared" si="24"/>
        <v>138000</v>
      </c>
      <c r="E136" s="49"/>
      <c r="F136" s="48">
        <f t="shared" si="25"/>
        <v>138000</v>
      </c>
      <c r="G136" s="44">
        <f>200000-62000</f>
        <v>138000</v>
      </c>
      <c r="H136" s="21"/>
      <c r="I136" s="36"/>
      <c r="J136" s="37" t="e">
        <f t="shared" si="19"/>
        <v>#DIV/0!</v>
      </c>
      <c r="L136" s="64">
        <f t="shared" si="16"/>
        <v>0</v>
      </c>
      <c r="M136" s="69"/>
      <c r="N136" s="69"/>
      <c r="O136" s="69"/>
      <c r="P136" s="69"/>
      <c r="Q136" s="69"/>
      <c r="R136" s="69"/>
      <c r="S136" s="69">
        <v>50000</v>
      </c>
      <c r="T136" s="69"/>
      <c r="U136" s="69">
        <f>150000-200000</f>
        <v>-50000</v>
      </c>
      <c r="V136" s="69"/>
      <c r="W136" s="69"/>
      <c r="X136" s="69">
        <f>200000</f>
        <v>200000</v>
      </c>
      <c r="Y136" s="19">
        <f t="shared" si="18"/>
        <v>200000</v>
      </c>
      <c r="Z136" s="54">
        <f t="shared" si="17"/>
        <v>62000</v>
      </c>
    </row>
    <row r="137" spans="1:26" ht="26.25" customHeight="1">
      <c r="A137" s="1"/>
      <c r="B137" s="17"/>
      <c r="C137" s="47" t="s">
        <v>142</v>
      </c>
      <c r="D137" s="48">
        <f>G137</f>
        <v>198000</v>
      </c>
      <c r="E137" s="49"/>
      <c r="F137" s="48">
        <f>G137</f>
        <v>198000</v>
      </c>
      <c r="G137" s="44">
        <f>446000-248000</f>
        <v>198000</v>
      </c>
      <c r="H137" s="21">
        <f>120000+78000</f>
        <v>198000</v>
      </c>
      <c r="I137" s="35">
        <f t="shared" si="15"/>
        <v>100</v>
      </c>
      <c r="J137" s="37">
        <f t="shared" si="19"/>
        <v>97.05882352941177</v>
      </c>
      <c r="L137" s="64">
        <f t="shared" si="16"/>
        <v>-6000</v>
      </c>
      <c r="M137" s="69"/>
      <c r="N137" s="69"/>
      <c r="O137" s="69"/>
      <c r="P137" s="69"/>
      <c r="Q137" s="69"/>
      <c r="R137" s="69">
        <f>446000</f>
        <v>446000</v>
      </c>
      <c r="S137" s="69"/>
      <c r="T137" s="69"/>
      <c r="U137" s="69">
        <f>-402116+76116</f>
        <v>-326000</v>
      </c>
      <c r="V137" s="69">
        <f>152144.93-76116</f>
        <v>76028.93</v>
      </c>
      <c r="W137" s="69">
        <f>100000-100000+7971.07</f>
        <v>7971.07</v>
      </c>
      <c r="X137" s="69">
        <f>346000-346000+242000</f>
        <v>242000</v>
      </c>
      <c r="Y137" s="19">
        <f t="shared" si="18"/>
        <v>446000</v>
      </c>
      <c r="Z137" s="54">
        <f t="shared" si="17"/>
        <v>248000</v>
      </c>
    </row>
    <row r="138" spans="1:26" ht="26.25" customHeight="1">
      <c r="A138" s="1"/>
      <c r="B138" s="17"/>
      <c r="C138" s="47" t="s">
        <v>143</v>
      </c>
      <c r="D138" s="48">
        <f>G138</f>
        <v>1706000</v>
      </c>
      <c r="E138" s="49"/>
      <c r="F138" s="48">
        <f>G138</f>
        <v>1706000</v>
      </c>
      <c r="G138" s="44">
        <f>1440000+100000+166000</f>
        <v>1706000</v>
      </c>
      <c r="H138" s="21">
        <f>62229.22+950000+375457.92</f>
        <v>1387687.14</v>
      </c>
      <c r="I138" s="35">
        <f t="shared" si="15"/>
        <v>81.34156740914419</v>
      </c>
      <c r="J138" s="37">
        <f t="shared" si="19"/>
        <v>90.10955454545454</v>
      </c>
      <c r="L138" s="64">
        <f t="shared" si="16"/>
        <v>-152312.8600000001</v>
      </c>
      <c r="M138" s="69"/>
      <c r="N138" s="69"/>
      <c r="O138" s="69"/>
      <c r="P138" s="69"/>
      <c r="Q138" s="69"/>
      <c r="R138" s="69">
        <f>1440000-400000</f>
        <v>1040000</v>
      </c>
      <c r="S138" s="69">
        <f>144000-144000</f>
        <v>0</v>
      </c>
      <c r="T138" s="69">
        <f>1008000-1008000+100000</f>
        <v>100000</v>
      </c>
      <c r="U138" s="69"/>
      <c r="V138" s="69">
        <f>288000-288000</f>
        <v>0</v>
      </c>
      <c r="W138" s="69">
        <f>400000</f>
        <v>400000</v>
      </c>
      <c r="X138" s="69">
        <f>400000-400000</f>
        <v>0</v>
      </c>
      <c r="Y138" s="19">
        <f t="shared" si="18"/>
        <v>1540000</v>
      </c>
      <c r="Z138" s="54">
        <f t="shared" si="17"/>
        <v>-166000</v>
      </c>
    </row>
    <row r="139" spans="1:26" ht="26.25" customHeight="1">
      <c r="A139" s="1"/>
      <c r="B139" s="17"/>
      <c r="C139" s="47" t="s">
        <v>196</v>
      </c>
      <c r="D139" s="21">
        <f>E139+F139</f>
        <v>889000</v>
      </c>
      <c r="E139" s="23"/>
      <c r="F139" s="48">
        <f>G139</f>
        <v>889000</v>
      </c>
      <c r="G139" s="75">
        <f>400000+489000</f>
        <v>889000</v>
      </c>
      <c r="H139" s="21">
        <f>300000</f>
        <v>300000</v>
      </c>
      <c r="I139" s="35">
        <f t="shared" si="15"/>
        <v>33.74578177727784</v>
      </c>
      <c r="J139" s="37">
        <f t="shared" si="19"/>
        <v>86.22054070453046</v>
      </c>
      <c r="L139" s="64">
        <f t="shared" si="16"/>
        <v>-47944.92999999999</v>
      </c>
      <c r="M139" s="69"/>
      <c r="N139" s="69"/>
      <c r="O139" s="69"/>
      <c r="P139" s="69"/>
      <c r="Q139" s="69"/>
      <c r="R139" s="69"/>
      <c r="S139" s="69"/>
      <c r="T139" s="69"/>
      <c r="U139" s="69">
        <f>300000</f>
        <v>300000</v>
      </c>
      <c r="V139" s="69">
        <f>152144.93-152144.93</f>
        <v>0</v>
      </c>
      <c r="W139" s="69">
        <f>195800-147855.07</f>
        <v>47944.92999999999</v>
      </c>
      <c r="X139" s="69">
        <f>52055.07</f>
        <v>52055.07</v>
      </c>
      <c r="Y139" s="19">
        <f t="shared" si="18"/>
        <v>400000</v>
      </c>
      <c r="Z139" s="54">
        <f t="shared" si="17"/>
        <v>-489000</v>
      </c>
    </row>
    <row r="140" spans="1:26" ht="26.25" customHeight="1">
      <c r="A140" s="1"/>
      <c r="B140" s="17"/>
      <c r="C140" s="47" t="s">
        <v>197</v>
      </c>
      <c r="D140" s="21">
        <f>E140+F140</f>
        <v>250000</v>
      </c>
      <c r="E140" s="23"/>
      <c r="F140" s="48">
        <f>G140</f>
        <v>250000</v>
      </c>
      <c r="G140" s="75">
        <f>950000-700000</f>
        <v>250000</v>
      </c>
      <c r="H140" s="21"/>
      <c r="I140" s="35"/>
      <c r="J140" s="37">
        <f t="shared" si="19"/>
        <v>0</v>
      </c>
      <c r="L140" s="64">
        <f t="shared" si="16"/>
        <v>-550000</v>
      </c>
      <c r="M140" s="69"/>
      <c r="N140" s="69"/>
      <c r="O140" s="69"/>
      <c r="P140" s="69"/>
      <c r="Q140" s="69"/>
      <c r="R140" s="69"/>
      <c r="S140" s="69"/>
      <c r="T140" s="69"/>
      <c r="U140" s="69">
        <f>50000</f>
        <v>50000</v>
      </c>
      <c r="V140" s="69">
        <f>500000</f>
        <v>500000</v>
      </c>
      <c r="W140" s="69">
        <f>400000-400000</f>
        <v>0</v>
      </c>
      <c r="X140" s="69">
        <f>400000</f>
        <v>400000</v>
      </c>
      <c r="Y140" s="19">
        <f t="shared" si="18"/>
        <v>950000</v>
      </c>
      <c r="Z140" s="54">
        <f t="shared" si="17"/>
        <v>700000</v>
      </c>
    </row>
    <row r="141" spans="1:26" ht="26.25" customHeight="1">
      <c r="A141" s="1"/>
      <c r="B141" s="17"/>
      <c r="C141" s="47" t="s">
        <v>138</v>
      </c>
      <c r="D141" s="48">
        <f t="shared" si="24"/>
        <v>474101</v>
      </c>
      <c r="E141" s="49"/>
      <c r="F141" s="48">
        <f>G141</f>
        <v>474101</v>
      </c>
      <c r="G141" s="44">
        <f>722000-247899</f>
        <v>474101</v>
      </c>
      <c r="H141" s="21">
        <f>283637+170080</f>
        <v>453717</v>
      </c>
      <c r="I141" s="35">
        <f>H141/D141*100</f>
        <v>95.70049419849357</v>
      </c>
      <c r="J141" s="37">
        <f t="shared" si="19"/>
        <v>95.70049419849357</v>
      </c>
      <c r="L141" s="64">
        <f t="shared" si="16"/>
        <v>-20384</v>
      </c>
      <c r="M141" s="69"/>
      <c r="N141" s="69"/>
      <c r="O141" s="69">
        <f>361000+105000</f>
        <v>466000</v>
      </c>
      <c r="P141" s="69"/>
      <c r="Q141" s="69"/>
      <c r="R141" s="69">
        <v>26500</v>
      </c>
      <c r="S141" s="69">
        <f>334500-105000-247899</f>
        <v>-18399</v>
      </c>
      <c r="T141" s="69"/>
      <c r="U141" s="69">
        <f>-20384</f>
        <v>-20384</v>
      </c>
      <c r="V141" s="69"/>
      <c r="W141" s="69">
        <f>20384</f>
        <v>20384</v>
      </c>
      <c r="X141" s="69"/>
      <c r="Y141" s="19">
        <f t="shared" si="18"/>
        <v>474101</v>
      </c>
      <c r="Z141" s="54">
        <f t="shared" si="17"/>
        <v>0</v>
      </c>
    </row>
    <row r="142" spans="1:26" ht="26.25" customHeight="1">
      <c r="A142" s="1"/>
      <c r="B142" s="17"/>
      <c r="C142" s="47" t="s">
        <v>172</v>
      </c>
      <c r="D142" s="48">
        <f t="shared" si="24"/>
        <v>103000</v>
      </c>
      <c r="E142" s="49"/>
      <c r="F142" s="48">
        <f t="shared" si="25"/>
        <v>103000</v>
      </c>
      <c r="G142" s="44">
        <f>150000-47000</f>
        <v>103000</v>
      </c>
      <c r="H142" s="21">
        <f>103000</f>
        <v>103000</v>
      </c>
      <c r="I142" s="35">
        <f>H142/D142*100</f>
        <v>100</v>
      </c>
      <c r="J142" s="37">
        <f t="shared" si="19"/>
        <v>68.66666666666667</v>
      </c>
      <c r="L142" s="64">
        <f t="shared" si="16"/>
        <v>-47000</v>
      </c>
      <c r="M142" s="69"/>
      <c r="N142" s="69"/>
      <c r="O142" s="69"/>
      <c r="P142" s="69"/>
      <c r="Q142" s="69"/>
      <c r="R142" s="69"/>
      <c r="S142" s="69">
        <v>50000</v>
      </c>
      <c r="T142" s="69"/>
      <c r="U142" s="69">
        <f>100000-47000</f>
        <v>53000</v>
      </c>
      <c r="V142" s="69"/>
      <c r="W142" s="69">
        <f>47000</f>
        <v>47000</v>
      </c>
      <c r="X142" s="69"/>
      <c r="Y142" s="19">
        <f t="shared" si="18"/>
        <v>150000</v>
      </c>
      <c r="Z142" s="54">
        <f t="shared" si="17"/>
        <v>47000</v>
      </c>
    </row>
    <row r="143" spans="1:26" ht="26.25" customHeight="1">
      <c r="A143" s="1"/>
      <c r="B143" s="17"/>
      <c r="C143" s="47" t="s">
        <v>139</v>
      </c>
      <c r="D143" s="48">
        <f t="shared" si="24"/>
        <v>72500</v>
      </c>
      <c r="E143" s="49"/>
      <c r="F143" s="48">
        <f t="shared" si="25"/>
        <v>72500</v>
      </c>
      <c r="G143" s="44">
        <v>72500</v>
      </c>
      <c r="H143" s="21"/>
      <c r="I143" s="36">
        <f t="shared" si="15"/>
        <v>0</v>
      </c>
      <c r="J143" s="37">
        <f>H143/(N143+O143+P143+Q143+R143+S143+T143+U143+V143+W143)*100</f>
        <v>0</v>
      </c>
      <c r="L143" s="64">
        <f t="shared" si="16"/>
        <v>-72500</v>
      </c>
      <c r="M143" s="69"/>
      <c r="N143" s="69"/>
      <c r="O143" s="69">
        <v>72500</v>
      </c>
      <c r="P143" s="69"/>
      <c r="Q143" s="69"/>
      <c r="R143" s="69"/>
      <c r="S143" s="69"/>
      <c r="T143" s="69"/>
      <c r="U143" s="69">
        <f>-72500</f>
        <v>-72500</v>
      </c>
      <c r="V143" s="69"/>
      <c r="W143" s="69">
        <f>72500</f>
        <v>72500</v>
      </c>
      <c r="X143" s="69"/>
      <c r="Y143" s="19">
        <f t="shared" si="18"/>
        <v>72500</v>
      </c>
      <c r="Z143" s="54">
        <f t="shared" si="17"/>
        <v>0</v>
      </c>
    </row>
    <row r="144" spans="1:26" ht="23.25" customHeight="1">
      <c r="A144" s="1"/>
      <c r="B144" s="17"/>
      <c r="C144" s="47" t="s">
        <v>157</v>
      </c>
      <c r="D144" s="48">
        <f>G144</f>
        <v>217000</v>
      </c>
      <c r="E144" s="49"/>
      <c r="F144" s="48">
        <f>G144</f>
        <v>217000</v>
      </c>
      <c r="G144" s="44">
        <f>117000+100000</f>
        <v>217000</v>
      </c>
      <c r="H144" s="44">
        <f>8000</f>
        <v>8000</v>
      </c>
      <c r="I144" s="35">
        <f>H144/D144*100</f>
        <v>3.686635944700461</v>
      </c>
      <c r="J144" s="37">
        <f t="shared" si="19"/>
        <v>6.837606837606838</v>
      </c>
      <c r="L144" s="64">
        <f t="shared" si="16"/>
        <v>-109000</v>
      </c>
      <c r="M144" s="69"/>
      <c r="N144" s="69"/>
      <c r="O144" s="69"/>
      <c r="P144" s="69"/>
      <c r="Q144" s="69"/>
      <c r="R144" s="69">
        <f>117000</f>
        <v>117000</v>
      </c>
      <c r="S144" s="69"/>
      <c r="T144" s="69"/>
      <c r="U144" s="69"/>
      <c r="V144" s="69">
        <f>117000-117000</f>
        <v>0</v>
      </c>
      <c r="W144" s="69"/>
      <c r="X144" s="69"/>
      <c r="Y144" s="19">
        <f t="shared" si="18"/>
        <v>117000</v>
      </c>
      <c r="Z144" s="54">
        <f t="shared" si="17"/>
        <v>-100000</v>
      </c>
    </row>
    <row r="145" spans="1:26" ht="25.5" customHeight="1">
      <c r="A145" s="1"/>
      <c r="B145" s="17"/>
      <c r="C145" s="47" t="s">
        <v>158</v>
      </c>
      <c r="D145" s="48">
        <f>G145</f>
        <v>189000</v>
      </c>
      <c r="E145" s="49"/>
      <c r="F145" s="48">
        <f>G145</f>
        <v>189000</v>
      </c>
      <c r="G145" s="44">
        <f>116000+73000</f>
        <v>189000</v>
      </c>
      <c r="H145" s="44">
        <f>10000</f>
        <v>10000</v>
      </c>
      <c r="I145" s="35">
        <f>H145/D145*100</f>
        <v>5.291005291005291</v>
      </c>
      <c r="J145" s="37">
        <f t="shared" si="19"/>
        <v>8.620689655172415</v>
      </c>
      <c r="L145" s="64">
        <f t="shared" si="16"/>
        <v>-106000</v>
      </c>
      <c r="M145" s="69"/>
      <c r="N145" s="69"/>
      <c r="O145" s="69"/>
      <c r="P145" s="69"/>
      <c r="Q145" s="69"/>
      <c r="R145" s="69">
        <f>116000</f>
        <v>116000</v>
      </c>
      <c r="S145" s="69"/>
      <c r="T145" s="69"/>
      <c r="U145" s="69">
        <f>116000-116000</f>
        <v>0</v>
      </c>
      <c r="V145" s="69"/>
      <c r="W145" s="69"/>
      <c r="X145" s="69"/>
      <c r="Y145" s="19">
        <f t="shared" si="18"/>
        <v>116000</v>
      </c>
      <c r="Z145" s="54">
        <f t="shared" si="17"/>
        <v>-73000</v>
      </c>
    </row>
    <row r="146" spans="1:26" ht="26.25" customHeight="1">
      <c r="A146" s="1"/>
      <c r="B146" s="17"/>
      <c r="C146" s="47" t="s">
        <v>140</v>
      </c>
      <c r="D146" s="48">
        <f t="shared" si="24"/>
        <v>698000</v>
      </c>
      <c r="E146" s="49"/>
      <c r="F146" s="48">
        <f t="shared" si="25"/>
        <v>698000</v>
      </c>
      <c r="G146" s="44">
        <f>357000+357000-16000</f>
        <v>698000</v>
      </c>
      <c r="H146" s="21">
        <f>77000+390000</f>
        <v>467000</v>
      </c>
      <c r="I146" s="35">
        <f t="shared" si="15"/>
        <v>66.9054441260745</v>
      </c>
      <c r="J146" s="37">
        <f t="shared" si="19"/>
        <v>82.80141843971631</v>
      </c>
      <c r="L146" s="64">
        <f t="shared" si="16"/>
        <v>-97000</v>
      </c>
      <c r="M146" s="69"/>
      <c r="N146" s="69"/>
      <c r="O146" s="69"/>
      <c r="P146" s="69">
        <f>35700</f>
        <v>35700</v>
      </c>
      <c r="Q146" s="69"/>
      <c r="R146" s="69">
        <f>678300-350000</f>
        <v>328300</v>
      </c>
      <c r="S146" s="69"/>
      <c r="T146" s="69"/>
      <c r="U146" s="69">
        <f>357000-357000</f>
        <v>0</v>
      </c>
      <c r="V146" s="69">
        <f>249900-249900</f>
        <v>0</v>
      </c>
      <c r="W146" s="69">
        <f>200000</f>
        <v>200000</v>
      </c>
      <c r="X146" s="69">
        <f>71400-71400+350000-200000</f>
        <v>150000</v>
      </c>
      <c r="Y146" s="19">
        <f t="shared" si="18"/>
        <v>714000</v>
      </c>
      <c r="Z146" s="54">
        <f t="shared" si="17"/>
        <v>16000</v>
      </c>
    </row>
    <row r="147" spans="1:26" ht="36" customHeight="1">
      <c r="A147" s="76" t="s">
        <v>64</v>
      </c>
      <c r="B147" s="76"/>
      <c r="C147" s="76"/>
      <c r="D147" s="76"/>
      <c r="E147" s="76"/>
      <c r="F147" s="76"/>
      <c r="G147" s="76"/>
      <c r="H147" s="76"/>
      <c r="I147" s="76"/>
      <c r="J147" s="76"/>
      <c r="L147" s="64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19"/>
      <c r="Z147" s="54">
        <f>Y147-D147</f>
        <v>0</v>
      </c>
    </row>
    <row r="148" spans="1:26" ht="18.75">
      <c r="A148" s="13">
        <v>2</v>
      </c>
      <c r="B148" s="14"/>
      <c r="C148" s="15" t="s">
        <v>26</v>
      </c>
      <c r="D148" s="16">
        <f>D149</f>
        <v>149831422.59</v>
      </c>
      <c r="E148" s="16"/>
      <c r="F148" s="16">
        <f>F149</f>
        <v>149831422.59</v>
      </c>
      <c r="G148" s="16">
        <f>G149</f>
        <v>149831422.59</v>
      </c>
      <c r="H148" s="16">
        <f>H149</f>
        <v>103853903.58000001</v>
      </c>
      <c r="I148" s="32">
        <f>H148/D148*100</f>
        <v>69.3138340307872</v>
      </c>
      <c r="J148" s="32">
        <f>H148/(N148+O148+P148+Q148+R148+S148+T148+U148+V148+W148)*100</f>
        <v>74.34020156439036</v>
      </c>
      <c r="K148" s="53"/>
      <c r="L148" s="64">
        <f>H148-(M148+N148+O148+P148+Q148+R148+S148+T148+U148+V148+W148)</f>
        <v>-35846960.00999999</v>
      </c>
      <c r="M148" s="65">
        <f>SUM(M149:M182)</f>
        <v>0</v>
      </c>
      <c r="N148" s="65">
        <f aca="true" t="shared" si="26" ref="N148:X148">SUM(N149:N182)</f>
        <v>1600000</v>
      </c>
      <c r="O148" s="65">
        <f t="shared" si="26"/>
        <v>28719871.54</v>
      </c>
      <c r="P148" s="65">
        <f t="shared" si="26"/>
        <v>16291625</v>
      </c>
      <c r="Q148" s="65">
        <f t="shared" si="26"/>
        <v>6529200</v>
      </c>
      <c r="R148" s="65">
        <f t="shared" si="26"/>
        <v>3392528.46</v>
      </c>
      <c r="S148" s="65">
        <f t="shared" si="26"/>
        <v>12752595</v>
      </c>
      <c r="T148" s="65">
        <f t="shared" si="26"/>
        <v>19079605</v>
      </c>
      <c r="U148" s="65">
        <f t="shared" si="26"/>
        <v>15189435</v>
      </c>
      <c r="V148" s="65">
        <f t="shared" si="26"/>
        <v>14154563.59</v>
      </c>
      <c r="W148" s="65">
        <f t="shared" si="26"/>
        <v>21991440</v>
      </c>
      <c r="X148" s="65">
        <f t="shared" si="26"/>
        <v>11422059</v>
      </c>
      <c r="Y148" s="65">
        <f>SUM(Y149:Y182)</f>
        <v>151122922.59</v>
      </c>
      <c r="Z148" s="54">
        <f>Y148-D148</f>
        <v>1291500</v>
      </c>
    </row>
    <row r="149" spans="1:25" ht="21" customHeight="1">
      <c r="A149" s="38"/>
      <c r="B149" s="38"/>
      <c r="C149" s="18" t="s">
        <v>30</v>
      </c>
      <c r="D149" s="104">
        <f>SUM(D150:D182)</f>
        <v>149831422.59</v>
      </c>
      <c r="E149" s="45"/>
      <c r="F149" s="45">
        <f>SUM(F150:F182)</f>
        <v>149831422.59</v>
      </c>
      <c r="G149" s="104">
        <f>SUM(G150:G182)</f>
        <v>149831422.59</v>
      </c>
      <c r="H149" s="45">
        <f>SUM(H150:H182)</f>
        <v>103853903.58000001</v>
      </c>
      <c r="I149" s="46">
        <f>H149/D149*100</f>
        <v>69.3138340307872</v>
      </c>
      <c r="J149" s="73">
        <f>H149/(N148+O148+P148+Q148+R148+S148+T148+U148+V148+W148)*100</f>
        <v>74.34020156439036</v>
      </c>
      <c r="L149" s="64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19"/>
    </row>
    <row r="150" spans="1:26" ht="37.5" customHeight="1">
      <c r="A150" s="38"/>
      <c r="B150" s="38"/>
      <c r="C150" s="20" t="s">
        <v>145</v>
      </c>
      <c r="D150" s="42">
        <f>F150</f>
        <v>5000</v>
      </c>
      <c r="E150" s="45"/>
      <c r="F150" s="42">
        <f>G150</f>
        <v>5000</v>
      </c>
      <c r="G150" s="42">
        <v>5000</v>
      </c>
      <c r="H150" s="45"/>
      <c r="I150" s="46"/>
      <c r="J150" s="56">
        <f>H150/(N150+O150+P150+Q150+R150+S150+T150+U150+V150+W150)*100</f>
        <v>0</v>
      </c>
      <c r="L150" s="64">
        <f>H150-(M150+N150+O150+P150+Q150+R150+S150+T150+U150+V150+W150)</f>
        <v>-5000</v>
      </c>
      <c r="M150" s="68"/>
      <c r="N150" s="68"/>
      <c r="O150" s="68"/>
      <c r="P150" s="68"/>
      <c r="Q150" s="68"/>
      <c r="R150" s="68"/>
      <c r="S150" s="68"/>
      <c r="T150" s="68">
        <v>5000</v>
      </c>
      <c r="U150" s="68"/>
      <c r="V150" s="68"/>
      <c r="W150" s="68"/>
      <c r="X150" s="68"/>
      <c r="Y150" s="19">
        <f>SUM(M150:X150)</f>
        <v>5000</v>
      </c>
      <c r="Z150" s="54">
        <f>Y150-D150</f>
        <v>0</v>
      </c>
    </row>
    <row r="151" spans="1:26" ht="26.25" customHeight="1">
      <c r="A151" s="1"/>
      <c r="B151" s="17"/>
      <c r="C151" s="39" t="s">
        <v>35</v>
      </c>
      <c r="D151" s="42">
        <f>F151</f>
        <v>1600000</v>
      </c>
      <c r="E151" s="23"/>
      <c r="F151" s="42">
        <f>G151</f>
        <v>1600000</v>
      </c>
      <c r="G151" s="42">
        <f>900000+700000</f>
        <v>1600000</v>
      </c>
      <c r="H151" s="21">
        <f>38025.56+685648.2</f>
        <v>723673.76</v>
      </c>
      <c r="I151" s="37">
        <f>H151/G151*100</f>
        <v>45.22961</v>
      </c>
      <c r="J151" s="56">
        <f aca="true" t="shared" si="27" ref="J151:J182">H151/(N151+O151+P151+Q151+R151+S151+T151+U151+V151+W151)*100</f>
        <v>80.40819555555557</v>
      </c>
      <c r="L151" s="64">
        <f aca="true" t="shared" si="28" ref="L151:L183">H151-(M151+N151+O151+P151+Q151+R151+S151+T151+U151+V151+W151)</f>
        <v>-176326.24</v>
      </c>
      <c r="M151" s="68"/>
      <c r="N151" s="68"/>
      <c r="O151" s="68"/>
      <c r="P151" s="68"/>
      <c r="Q151" s="68"/>
      <c r="R151" s="68"/>
      <c r="S151" s="68"/>
      <c r="T151" s="68">
        <v>50000</v>
      </c>
      <c r="U151" s="68"/>
      <c r="V151" s="68">
        <f>400000+274100</f>
        <v>674100</v>
      </c>
      <c r="W151" s="68">
        <f>450000-274100</f>
        <v>175900</v>
      </c>
      <c r="X151" s="68">
        <f>700000</f>
        <v>700000</v>
      </c>
      <c r="Y151" s="19">
        <f>SUM(M151:X151)</f>
        <v>1600000</v>
      </c>
      <c r="Z151" s="54">
        <f>Y151-D151</f>
        <v>0</v>
      </c>
    </row>
    <row r="152" spans="1:26" ht="26.25" customHeight="1">
      <c r="A152" s="1"/>
      <c r="B152" s="17"/>
      <c r="C152" s="51" t="s">
        <v>173</v>
      </c>
      <c r="D152" s="42">
        <f>F152</f>
        <v>1050000</v>
      </c>
      <c r="E152" s="23"/>
      <c r="F152" s="42">
        <f>G152</f>
        <v>1050000</v>
      </c>
      <c r="G152" s="42">
        <f>1000000+50000</f>
        <v>1050000</v>
      </c>
      <c r="H152" s="21">
        <f>160000</f>
        <v>160000</v>
      </c>
      <c r="I152" s="74">
        <f>H152/G152*100</f>
        <v>15.238095238095239</v>
      </c>
      <c r="J152" s="56">
        <f t="shared" si="27"/>
        <v>16</v>
      </c>
      <c r="L152" s="64">
        <f t="shared" si="28"/>
        <v>-840000</v>
      </c>
      <c r="M152" s="68"/>
      <c r="N152" s="68"/>
      <c r="O152" s="68"/>
      <c r="P152" s="68"/>
      <c r="Q152" s="68"/>
      <c r="R152" s="68"/>
      <c r="S152" s="68"/>
      <c r="T152" s="42"/>
      <c r="U152" s="42">
        <f>1000000-1000000</f>
        <v>0</v>
      </c>
      <c r="V152" s="42"/>
      <c r="W152" s="42">
        <f>1000000</f>
        <v>1000000</v>
      </c>
      <c r="X152" s="42">
        <f>50000</f>
        <v>50000</v>
      </c>
      <c r="Y152" s="19">
        <f>SUM(M152:X152)</f>
        <v>1050000</v>
      </c>
      <c r="Z152" s="54">
        <f>Y152-D152</f>
        <v>0</v>
      </c>
    </row>
    <row r="153" spans="1:26" ht="26.25" customHeight="1">
      <c r="A153" s="1"/>
      <c r="B153" s="17"/>
      <c r="C153" s="39" t="s">
        <v>36</v>
      </c>
      <c r="D153" s="42">
        <f aca="true" t="shared" si="29" ref="D153:D182">F153</f>
        <v>300000</v>
      </c>
      <c r="E153" s="23"/>
      <c r="F153" s="42">
        <f aca="true" t="shared" si="30" ref="F153:F182">G153</f>
        <v>300000</v>
      </c>
      <c r="G153" s="42">
        <f>11000000-10700000</f>
        <v>300000</v>
      </c>
      <c r="H153" s="42">
        <f>200000+56746+30130</f>
        <v>286876</v>
      </c>
      <c r="I153" s="37">
        <f>H153/G153*100</f>
        <v>95.62533333333333</v>
      </c>
      <c r="J153" s="56">
        <f t="shared" si="27"/>
        <v>95.62533333333333</v>
      </c>
      <c r="L153" s="64">
        <f t="shared" si="28"/>
        <v>-13124</v>
      </c>
      <c r="M153" s="68"/>
      <c r="N153" s="68"/>
      <c r="O153" s="68"/>
      <c r="P153" s="68"/>
      <c r="Q153" s="42">
        <v>200000</v>
      </c>
      <c r="R153" s="42"/>
      <c r="S153" s="42">
        <f>200000-200000+57000</f>
        <v>57000</v>
      </c>
      <c r="T153" s="42"/>
      <c r="U153" s="42">
        <f>5400000-57000-5300000</f>
        <v>43000</v>
      </c>
      <c r="V153" s="42"/>
      <c r="W153" s="42">
        <f>2700000-2700000</f>
        <v>0</v>
      </c>
      <c r="X153" s="42">
        <f>2700000-2700000</f>
        <v>0</v>
      </c>
      <c r="Y153" s="19">
        <f aca="true" t="shared" si="31" ref="Y153:Y182">SUM(M153:X153)</f>
        <v>300000</v>
      </c>
      <c r="Z153" s="54">
        <f>Y153-D153</f>
        <v>0</v>
      </c>
    </row>
    <row r="154" spans="1:26" ht="18.75">
      <c r="A154" s="1"/>
      <c r="B154" s="17"/>
      <c r="C154" s="39" t="s">
        <v>160</v>
      </c>
      <c r="D154" s="21">
        <f>E154+F154</f>
        <v>500000</v>
      </c>
      <c r="E154" s="23"/>
      <c r="F154" s="42">
        <v>500000</v>
      </c>
      <c r="G154" s="75">
        <f>F154</f>
        <v>500000</v>
      </c>
      <c r="H154" s="42">
        <f>84885</f>
        <v>84885</v>
      </c>
      <c r="I154" s="37">
        <f>H154/G154*100</f>
        <v>16.977</v>
      </c>
      <c r="J154" s="56">
        <f t="shared" si="27"/>
        <v>16.977</v>
      </c>
      <c r="L154" s="64">
        <f t="shared" si="28"/>
        <v>-415115</v>
      </c>
      <c r="M154" s="71"/>
      <c r="N154" s="71"/>
      <c r="O154" s="71"/>
      <c r="P154" s="71"/>
      <c r="Q154" s="71"/>
      <c r="R154" s="71"/>
      <c r="S154" s="71"/>
      <c r="T154" s="71"/>
      <c r="U154" s="71"/>
      <c r="V154" s="42">
        <f>90000</f>
        <v>90000</v>
      </c>
      <c r="W154" s="42">
        <f>500000-90000</f>
        <v>410000</v>
      </c>
      <c r="X154" s="71"/>
      <c r="Y154" s="19">
        <f t="shared" si="31"/>
        <v>500000</v>
      </c>
      <c r="Z154" s="54">
        <f aca="true" t="shared" si="32" ref="Z154:Z182">Y154-D154</f>
        <v>0</v>
      </c>
    </row>
    <row r="155" spans="1:26" ht="28.5" customHeight="1">
      <c r="A155" s="1"/>
      <c r="B155" s="17"/>
      <c r="C155" s="39" t="s">
        <v>37</v>
      </c>
      <c r="D155" s="42">
        <f t="shared" si="29"/>
        <v>1000000</v>
      </c>
      <c r="E155" s="23"/>
      <c r="F155" s="42">
        <f t="shared" si="30"/>
        <v>1000000</v>
      </c>
      <c r="G155" s="42">
        <v>1000000</v>
      </c>
      <c r="H155" s="21"/>
      <c r="I155" s="35"/>
      <c r="J155" s="56">
        <f t="shared" si="27"/>
        <v>0</v>
      </c>
      <c r="L155" s="64">
        <f t="shared" si="28"/>
        <v>-500000</v>
      </c>
      <c r="M155" s="68"/>
      <c r="N155" s="68"/>
      <c r="O155" s="68"/>
      <c r="P155" s="68"/>
      <c r="Q155" s="68"/>
      <c r="R155" s="68"/>
      <c r="S155" s="68"/>
      <c r="T155" s="68"/>
      <c r="U155" s="68">
        <v>500000</v>
      </c>
      <c r="V155" s="42">
        <f>-90000-274100</f>
        <v>-364100</v>
      </c>
      <c r="W155" s="42">
        <f>90000+274100</f>
        <v>364100</v>
      </c>
      <c r="X155" s="42">
        <v>500000</v>
      </c>
      <c r="Y155" s="19">
        <f t="shared" si="31"/>
        <v>1000000</v>
      </c>
      <c r="Z155" s="54">
        <f t="shared" si="32"/>
        <v>0</v>
      </c>
    </row>
    <row r="156" spans="1:26" ht="24.75" customHeight="1">
      <c r="A156" s="1"/>
      <c r="B156" s="17"/>
      <c r="C156" s="39" t="s">
        <v>38</v>
      </c>
      <c r="D156" s="42">
        <f t="shared" si="29"/>
        <v>192500</v>
      </c>
      <c r="E156" s="23"/>
      <c r="F156" s="42">
        <f t="shared" si="30"/>
        <v>192500</v>
      </c>
      <c r="G156" s="42">
        <f>500000-307500</f>
        <v>192500</v>
      </c>
      <c r="H156" s="21">
        <f>20944</f>
        <v>20944</v>
      </c>
      <c r="I156" s="37">
        <f aca="true" t="shared" si="33" ref="I156:I161">H156/G156*100</f>
        <v>10.879999999999999</v>
      </c>
      <c r="J156" s="56">
        <f t="shared" si="27"/>
        <v>8.377600000000001</v>
      </c>
      <c r="L156" s="64">
        <f t="shared" si="28"/>
        <v>-229056</v>
      </c>
      <c r="M156" s="68"/>
      <c r="N156" s="68"/>
      <c r="O156" s="68"/>
      <c r="P156" s="68"/>
      <c r="Q156" s="42">
        <v>22000</v>
      </c>
      <c r="R156" s="42"/>
      <c r="S156" s="42"/>
      <c r="T156" s="42"/>
      <c r="U156" s="42"/>
      <c r="V156" s="42"/>
      <c r="W156" s="42">
        <f>250000-22000</f>
        <v>228000</v>
      </c>
      <c r="X156" s="42">
        <v>250000</v>
      </c>
      <c r="Y156" s="19">
        <f t="shared" si="31"/>
        <v>500000</v>
      </c>
      <c r="Z156" s="54">
        <f t="shared" si="32"/>
        <v>307500</v>
      </c>
    </row>
    <row r="157" spans="1:26" ht="24.75" customHeight="1">
      <c r="A157" s="1"/>
      <c r="B157" s="17"/>
      <c r="C157" s="39" t="s">
        <v>39</v>
      </c>
      <c r="D157" s="42">
        <f t="shared" si="29"/>
        <v>8750000</v>
      </c>
      <c r="E157" s="23"/>
      <c r="F157" s="42">
        <f t="shared" si="30"/>
        <v>8750000</v>
      </c>
      <c r="G157" s="42">
        <v>8750000</v>
      </c>
      <c r="H157" s="42">
        <f>1500000+2300000+351862.03+904224.19+42056.74+740823.17</f>
        <v>5838966.130000001</v>
      </c>
      <c r="I157" s="37">
        <f t="shared" si="33"/>
        <v>66.73104148571429</v>
      </c>
      <c r="J157" s="56">
        <f t="shared" si="27"/>
        <v>66.73104148571429</v>
      </c>
      <c r="L157" s="64">
        <f t="shared" si="28"/>
        <v>-2911033.869999999</v>
      </c>
      <c r="M157" s="68"/>
      <c r="N157" s="68"/>
      <c r="O157" s="68">
        <f>4375000-2875000</f>
        <v>1500000</v>
      </c>
      <c r="P157" s="68"/>
      <c r="Q157" s="68"/>
      <c r="R157" s="68">
        <v>2700000</v>
      </c>
      <c r="S157" s="68">
        <f>2000000+2091666.54-2700000</f>
        <v>1391666.54</v>
      </c>
      <c r="T157" s="42">
        <f>2375000+783333.46-34000</f>
        <v>3124333.46</v>
      </c>
      <c r="U157" s="42">
        <v>34000</v>
      </c>
      <c r="V157" s="42"/>
      <c r="W157" s="42"/>
      <c r="X157" s="42"/>
      <c r="Y157" s="19">
        <f t="shared" si="31"/>
        <v>8750000</v>
      </c>
      <c r="Z157" s="54">
        <f t="shared" si="32"/>
        <v>0</v>
      </c>
    </row>
    <row r="158" spans="1:26" ht="26.25" customHeight="1">
      <c r="A158" s="1"/>
      <c r="B158" s="17"/>
      <c r="C158" s="39" t="s">
        <v>40</v>
      </c>
      <c r="D158" s="42">
        <f t="shared" si="29"/>
        <v>10459000</v>
      </c>
      <c r="E158" s="23"/>
      <c r="F158" s="42">
        <f t="shared" si="30"/>
        <v>10459000</v>
      </c>
      <c r="G158" s="42">
        <f>8600000+1859000</f>
        <v>10459000</v>
      </c>
      <c r="H158" s="42">
        <f>3300000+3111386.39+40091.81-1500000+630117.4+60+1232608.92+47937.46</f>
        <v>6862201.98</v>
      </c>
      <c r="I158" s="37">
        <f t="shared" si="33"/>
        <v>65.61049794435415</v>
      </c>
      <c r="J158" s="56">
        <f t="shared" si="27"/>
        <v>79.79304627906977</v>
      </c>
      <c r="L158" s="64">
        <f t="shared" si="28"/>
        <v>-1737798.0199999996</v>
      </c>
      <c r="M158" s="68"/>
      <c r="N158" s="68"/>
      <c r="O158" s="68">
        <f>4300000-1000000</f>
        <v>3300000</v>
      </c>
      <c r="P158" s="68"/>
      <c r="Q158" s="68">
        <v>3152000</v>
      </c>
      <c r="R158" s="68"/>
      <c r="S158" s="68">
        <v>2000000</v>
      </c>
      <c r="T158" s="68">
        <v>148000</v>
      </c>
      <c r="U158" s="68"/>
      <c r="V158" s="68"/>
      <c r="W158" s="68"/>
      <c r="X158" s="68">
        <f>1859000</f>
        <v>1859000</v>
      </c>
      <c r="Y158" s="19">
        <f t="shared" si="31"/>
        <v>10459000</v>
      </c>
      <c r="Z158" s="54">
        <f t="shared" si="32"/>
        <v>0</v>
      </c>
    </row>
    <row r="159" spans="1:26" ht="26.25" customHeight="1">
      <c r="A159" s="1"/>
      <c r="B159" s="17"/>
      <c r="C159" s="39" t="s">
        <v>41</v>
      </c>
      <c r="D159" s="42">
        <f t="shared" si="29"/>
        <v>3516000</v>
      </c>
      <c r="E159" s="23"/>
      <c r="F159" s="42">
        <f t="shared" si="30"/>
        <v>3516000</v>
      </c>
      <c r="G159" s="42">
        <f>5000000-3500000+2016000</f>
        <v>3516000</v>
      </c>
      <c r="H159" s="42">
        <f>400000+225000</f>
        <v>625000</v>
      </c>
      <c r="I159" s="37">
        <f t="shared" si="33"/>
        <v>17.775881683731512</v>
      </c>
      <c r="J159" s="56">
        <f t="shared" si="27"/>
        <v>41.66666666666667</v>
      </c>
      <c r="L159" s="64">
        <f t="shared" si="28"/>
        <v>-875000</v>
      </c>
      <c r="M159" s="68"/>
      <c r="N159" s="68"/>
      <c r="O159" s="68"/>
      <c r="P159" s="68"/>
      <c r="Q159" s="68"/>
      <c r="R159" s="68">
        <f>400000</f>
        <v>400000</v>
      </c>
      <c r="S159" s="68">
        <f>350000-350000</f>
        <v>0</v>
      </c>
      <c r="T159" s="68">
        <f>350000-50000</f>
        <v>300000</v>
      </c>
      <c r="U159" s="68"/>
      <c r="V159" s="68">
        <f>2150000-1350000</f>
        <v>800000</v>
      </c>
      <c r="W159" s="68">
        <f>2150000-2150000</f>
        <v>0</v>
      </c>
      <c r="X159" s="68"/>
      <c r="Y159" s="19">
        <f t="shared" si="31"/>
        <v>1500000</v>
      </c>
      <c r="Z159" s="54">
        <f t="shared" si="32"/>
        <v>-2016000</v>
      </c>
    </row>
    <row r="160" spans="1:26" ht="24" customHeight="1">
      <c r="A160" s="1"/>
      <c r="B160" s="17"/>
      <c r="C160" s="39" t="s">
        <v>42</v>
      </c>
      <c r="D160" s="42">
        <f t="shared" si="29"/>
        <v>700000</v>
      </c>
      <c r="E160" s="23"/>
      <c r="F160" s="42">
        <f t="shared" si="30"/>
        <v>700000</v>
      </c>
      <c r="G160" s="42">
        <f>7700000-7000000</f>
        <v>700000</v>
      </c>
      <c r="H160" s="42">
        <f>43461.4</f>
        <v>43461.4</v>
      </c>
      <c r="I160" s="37">
        <f t="shared" si="33"/>
        <v>6.208771428571429</v>
      </c>
      <c r="J160" s="56">
        <f t="shared" si="27"/>
        <v>7.3253542468325525</v>
      </c>
      <c r="L160" s="64">
        <f t="shared" si="28"/>
        <v>-549839.6</v>
      </c>
      <c r="M160" s="68"/>
      <c r="N160" s="68"/>
      <c r="O160" s="68"/>
      <c r="P160" s="68"/>
      <c r="Q160" s="68"/>
      <c r="R160" s="68">
        <f>45000</f>
        <v>45000</v>
      </c>
      <c r="S160" s="68">
        <f>150000-45000</f>
        <v>105000</v>
      </c>
      <c r="T160" s="68"/>
      <c r="U160" s="68">
        <f>3775000-3880000</f>
        <v>-105000</v>
      </c>
      <c r="V160" s="68">
        <f>1550000-1001699</f>
        <v>548301</v>
      </c>
      <c r="W160" s="68">
        <f>714800+2330000-3044800</f>
        <v>0</v>
      </c>
      <c r="X160" s="68">
        <f>3060200-2953501</f>
        <v>106699</v>
      </c>
      <c r="Y160" s="19">
        <f t="shared" si="31"/>
        <v>700000</v>
      </c>
      <c r="Z160" s="54">
        <f t="shared" si="32"/>
        <v>0</v>
      </c>
    </row>
    <row r="161" spans="1:26" ht="21" customHeight="1">
      <c r="A161" s="1"/>
      <c r="B161" s="17"/>
      <c r="C161" s="39" t="s">
        <v>43</v>
      </c>
      <c r="D161" s="42">
        <f t="shared" si="29"/>
        <v>713000</v>
      </c>
      <c r="E161" s="23"/>
      <c r="F161" s="42">
        <f t="shared" si="30"/>
        <v>713000</v>
      </c>
      <c r="G161" s="42">
        <f>1000000-287000</f>
        <v>713000</v>
      </c>
      <c r="H161" s="42">
        <f>300000</f>
        <v>300000</v>
      </c>
      <c r="I161" s="37">
        <f t="shared" si="33"/>
        <v>42.07573632538569</v>
      </c>
      <c r="J161" s="56">
        <f t="shared" si="27"/>
        <v>42.07573632538569</v>
      </c>
      <c r="L161" s="64">
        <f t="shared" si="28"/>
        <v>-413000</v>
      </c>
      <c r="M161" s="68"/>
      <c r="N161" s="68"/>
      <c r="O161" s="68"/>
      <c r="P161" s="68"/>
      <c r="Q161" s="68"/>
      <c r="R161" s="68"/>
      <c r="S161" s="68"/>
      <c r="T161" s="68"/>
      <c r="U161" s="68">
        <v>300000</v>
      </c>
      <c r="V161" s="68"/>
      <c r="W161" s="68">
        <f>700000-287000</f>
        <v>413000</v>
      </c>
      <c r="X161" s="68"/>
      <c r="Y161" s="19">
        <f t="shared" si="31"/>
        <v>713000</v>
      </c>
      <c r="Z161" s="54">
        <f t="shared" si="32"/>
        <v>0</v>
      </c>
    </row>
    <row r="162" spans="1:26" ht="24" customHeight="1">
      <c r="A162" s="1"/>
      <c r="B162" s="17"/>
      <c r="C162" s="39" t="s">
        <v>44</v>
      </c>
      <c r="D162" s="42">
        <f t="shared" si="29"/>
        <v>500000</v>
      </c>
      <c r="E162" s="23"/>
      <c r="F162" s="42">
        <f t="shared" si="30"/>
        <v>500000</v>
      </c>
      <c r="G162" s="42">
        <v>500000</v>
      </c>
      <c r="H162" s="42"/>
      <c r="I162" s="37"/>
      <c r="J162" s="56">
        <f t="shared" si="27"/>
        <v>0</v>
      </c>
      <c r="L162" s="64">
        <f t="shared" si="28"/>
        <v>-500000</v>
      </c>
      <c r="M162" s="68"/>
      <c r="N162" s="68"/>
      <c r="O162" s="68"/>
      <c r="P162" s="68"/>
      <c r="Q162" s="68"/>
      <c r="R162" s="68"/>
      <c r="S162" s="68"/>
      <c r="T162" s="68"/>
      <c r="U162" s="68">
        <v>250000</v>
      </c>
      <c r="V162" s="68"/>
      <c r="W162" s="68">
        <v>250000</v>
      </c>
      <c r="X162" s="68"/>
      <c r="Y162" s="19">
        <f t="shared" si="31"/>
        <v>500000</v>
      </c>
      <c r="Z162" s="54">
        <f t="shared" si="32"/>
        <v>0</v>
      </c>
    </row>
    <row r="163" spans="1:26" ht="24.75" customHeight="1">
      <c r="A163" s="1"/>
      <c r="B163" s="17"/>
      <c r="C163" s="39" t="s">
        <v>45</v>
      </c>
      <c r="D163" s="42">
        <f t="shared" si="29"/>
        <v>5000000</v>
      </c>
      <c r="E163" s="23"/>
      <c r="F163" s="42">
        <f t="shared" si="30"/>
        <v>5000000</v>
      </c>
      <c r="G163" s="42">
        <v>5000000</v>
      </c>
      <c r="H163" s="42">
        <f>1460000+1581342.49+19096.08+236835.62+3108.16</f>
        <v>3300382.3500000006</v>
      </c>
      <c r="I163" s="37">
        <f aca="true" t="shared" si="34" ref="I163:I169">H163/G163*100</f>
        <v>66.00764700000002</v>
      </c>
      <c r="J163" s="56">
        <f t="shared" si="27"/>
        <v>66.00764700000002</v>
      </c>
      <c r="L163" s="64">
        <f t="shared" si="28"/>
        <v>-1699617.6499999994</v>
      </c>
      <c r="M163" s="68"/>
      <c r="N163" s="68"/>
      <c r="O163" s="68"/>
      <c r="P163" s="68">
        <f>1460000+1585125</f>
        <v>3045125</v>
      </c>
      <c r="Q163" s="68"/>
      <c r="R163" s="68"/>
      <c r="S163" s="68">
        <f>2500000-1460000-12000-69000</f>
        <v>959000</v>
      </c>
      <c r="T163" s="68">
        <v>12000</v>
      </c>
      <c r="U163" s="68">
        <f>114435+57000-890000</f>
        <v>-718565</v>
      </c>
      <c r="V163" s="68">
        <f>890000</f>
        <v>890000</v>
      </c>
      <c r="W163" s="68">
        <f>2385565-1585125+12000</f>
        <v>812440</v>
      </c>
      <c r="X163" s="68"/>
      <c r="Y163" s="19">
        <f t="shared" si="31"/>
        <v>5000000</v>
      </c>
      <c r="Z163" s="54">
        <f t="shared" si="32"/>
        <v>0</v>
      </c>
    </row>
    <row r="164" spans="1:26" ht="22.5" customHeight="1">
      <c r="A164" s="1"/>
      <c r="B164" s="17"/>
      <c r="C164" s="39" t="s">
        <v>46</v>
      </c>
      <c r="D164" s="42">
        <f t="shared" si="29"/>
        <v>500000</v>
      </c>
      <c r="E164" s="23"/>
      <c r="F164" s="42">
        <f t="shared" si="30"/>
        <v>500000</v>
      </c>
      <c r="G164" s="42">
        <v>500000</v>
      </c>
      <c r="H164" s="42">
        <f>14391.08</f>
        <v>14391.08</v>
      </c>
      <c r="I164" s="37">
        <f t="shared" si="34"/>
        <v>2.878216</v>
      </c>
      <c r="J164" s="56">
        <f t="shared" si="27"/>
        <v>2.878216</v>
      </c>
      <c r="L164" s="64">
        <f t="shared" si="28"/>
        <v>-485608.92</v>
      </c>
      <c r="M164" s="68"/>
      <c r="N164" s="68"/>
      <c r="O164" s="68">
        <f>14500</f>
        <v>14500</v>
      </c>
      <c r="P164" s="68"/>
      <c r="Q164" s="68"/>
      <c r="R164" s="68"/>
      <c r="S164" s="68"/>
      <c r="T164" s="68">
        <f>500000-14500</f>
        <v>485500</v>
      </c>
      <c r="U164" s="68"/>
      <c r="V164" s="68"/>
      <c r="W164" s="68"/>
      <c r="X164" s="68"/>
      <c r="Y164" s="19">
        <f t="shared" si="31"/>
        <v>500000</v>
      </c>
      <c r="Z164" s="54">
        <f t="shared" si="32"/>
        <v>0</v>
      </c>
    </row>
    <row r="165" spans="1:26" ht="26.25" customHeight="1">
      <c r="A165" s="1"/>
      <c r="B165" s="17"/>
      <c r="C165" s="39" t="s">
        <v>47</v>
      </c>
      <c r="D165" s="42">
        <f t="shared" si="29"/>
        <v>1000000</v>
      </c>
      <c r="E165" s="23"/>
      <c r="F165" s="42">
        <f t="shared" si="30"/>
        <v>1000000</v>
      </c>
      <c r="G165" s="42">
        <v>1000000</v>
      </c>
      <c r="H165" s="42">
        <f>488928+1230.24</f>
        <v>490158.24</v>
      </c>
      <c r="I165" s="37">
        <f t="shared" si="34"/>
        <v>49.015823999999995</v>
      </c>
      <c r="J165" s="56">
        <f t="shared" si="27"/>
        <v>49.015823999999995</v>
      </c>
      <c r="L165" s="64">
        <f t="shared" si="28"/>
        <v>-509841.76</v>
      </c>
      <c r="M165" s="68"/>
      <c r="N165" s="68"/>
      <c r="O165" s="68"/>
      <c r="P165" s="68"/>
      <c r="Q165" s="68">
        <v>500000</v>
      </c>
      <c r="R165" s="68">
        <f>-500000</f>
        <v>-500000</v>
      </c>
      <c r="S165" s="68">
        <f>500000</f>
        <v>500000</v>
      </c>
      <c r="T165" s="68">
        <v>500000</v>
      </c>
      <c r="U165" s="68">
        <f>-490000</f>
        <v>-490000</v>
      </c>
      <c r="V165" s="68">
        <v>490000</v>
      </c>
      <c r="W165" s="68"/>
      <c r="X165" s="68"/>
      <c r="Y165" s="19">
        <f t="shared" si="31"/>
        <v>1000000</v>
      </c>
      <c r="Z165" s="54">
        <f t="shared" si="32"/>
        <v>0</v>
      </c>
    </row>
    <row r="166" spans="1:26" ht="27.75" customHeight="1">
      <c r="A166" s="1"/>
      <c r="B166" s="17"/>
      <c r="C166" s="39" t="s">
        <v>48</v>
      </c>
      <c r="D166" s="42">
        <f t="shared" si="29"/>
        <v>504300</v>
      </c>
      <c r="E166" s="23"/>
      <c r="F166" s="42">
        <f t="shared" si="30"/>
        <v>504300</v>
      </c>
      <c r="G166" s="42">
        <f>1810000-500000-805700</f>
        <v>504300</v>
      </c>
      <c r="H166" s="42">
        <f>49000+17791.2</f>
        <v>66791.2</v>
      </c>
      <c r="I166" s="37">
        <f t="shared" si="34"/>
        <v>13.24433868728931</v>
      </c>
      <c r="J166" s="56">
        <f t="shared" si="27"/>
        <v>14.679384615384613</v>
      </c>
      <c r="L166" s="64">
        <f t="shared" si="28"/>
        <v>-388208.8</v>
      </c>
      <c r="M166" s="68"/>
      <c r="N166" s="68"/>
      <c r="O166" s="68"/>
      <c r="P166" s="68"/>
      <c r="Q166" s="68"/>
      <c r="R166" s="68"/>
      <c r="S166" s="68"/>
      <c r="T166" s="42">
        <v>100000</v>
      </c>
      <c r="U166" s="42"/>
      <c r="V166" s="42"/>
      <c r="W166" s="42">
        <f>855000-500000</f>
        <v>355000</v>
      </c>
      <c r="X166" s="42">
        <f>855000-805700</f>
        <v>49300</v>
      </c>
      <c r="Y166" s="19">
        <f t="shared" si="31"/>
        <v>504300</v>
      </c>
      <c r="Z166" s="54">
        <f t="shared" si="32"/>
        <v>0</v>
      </c>
    </row>
    <row r="167" spans="1:26" ht="27.75" customHeight="1">
      <c r="A167" s="1"/>
      <c r="B167" s="17"/>
      <c r="C167" s="39" t="s">
        <v>49</v>
      </c>
      <c r="D167" s="42">
        <f t="shared" si="29"/>
        <v>44500000</v>
      </c>
      <c r="E167" s="23"/>
      <c r="F167" s="42">
        <f t="shared" si="30"/>
        <v>44500000</v>
      </c>
      <c r="G167" s="42">
        <f>27000000+1993500+8006500+5500000+2000000</f>
        <v>44500000</v>
      </c>
      <c r="H167" s="42">
        <f>16806225.23+2399840.4+1688728.36+6065043.03+84921.28+363713.37+127842.4+1161813.97+2000000+1774880.8+6340000+1023000+478006.39+1303122+1000000+519959.2</f>
        <v>43137096.43000001</v>
      </c>
      <c r="I167" s="37">
        <f t="shared" si="34"/>
        <v>96.93729534831462</v>
      </c>
      <c r="J167" s="56">
        <f t="shared" si="27"/>
        <v>96.93729534831462</v>
      </c>
      <c r="L167" s="64">
        <f t="shared" si="28"/>
        <v>-1362903.5699999928</v>
      </c>
      <c r="M167" s="42"/>
      <c r="N167" s="42"/>
      <c r="O167" s="42">
        <f>13500000-17000</f>
        <v>13483000</v>
      </c>
      <c r="P167" s="42">
        <f>700000+3000000+2700000+8006500</f>
        <v>14406500</v>
      </c>
      <c r="Q167" s="42">
        <f>-468000-3152000+2700000</f>
        <v>-920000</v>
      </c>
      <c r="R167" s="42"/>
      <c r="S167" s="42">
        <f>6750000-700000-3000000-2700000+205000+12000</f>
        <v>567000</v>
      </c>
      <c r="T167" s="42">
        <f>6750000+17000+3152000-2700000-12000</f>
        <v>7207000</v>
      </c>
      <c r="U167" s="42">
        <f>100000+5840000-1800000</f>
        <v>4140000</v>
      </c>
      <c r="V167" s="42">
        <f>1833500+100000-980000+600000+1200000</f>
        <v>2753500</v>
      </c>
      <c r="W167" s="42">
        <f>163000+2700000+1800000-600000-1200000</f>
        <v>2863000</v>
      </c>
      <c r="X167" s="42">
        <f>160000+2700000+2000000-4860000</f>
        <v>0</v>
      </c>
      <c r="Y167" s="19">
        <f t="shared" si="31"/>
        <v>44500000</v>
      </c>
      <c r="Z167" s="54">
        <f>Y167-D167</f>
        <v>0</v>
      </c>
    </row>
    <row r="168" spans="1:26" ht="24.75" customHeight="1">
      <c r="A168" s="1"/>
      <c r="B168" s="17"/>
      <c r="C168" s="39" t="s">
        <v>146</v>
      </c>
      <c r="D168" s="42">
        <f t="shared" si="29"/>
        <v>850000</v>
      </c>
      <c r="E168" s="23"/>
      <c r="F168" s="42">
        <f t="shared" si="30"/>
        <v>850000</v>
      </c>
      <c r="G168" s="42">
        <f>1500000-650000</f>
        <v>850000</v>
      </c>
      <c r="H168" s="42">
        <f>44142</f>
        <v>44142</v>
      </c>
      <c r="I168" s="37">
        <f t="shared" si="34"/>
        <v>5.193176470588235</v>
      </c>
      <c r="J168" s="56">
        <f t="shared" si="27"/>
        <v>5.193176470588235</v>
      </c>
      <c r="L168" s="64">
        <f t="shared" si="28"/>
        <v>-805858</v>
      </c>
      <c r="M168" s="68"/>
      <c r="N168" s="68"/>
      <c r="O168" s="68"/>
      <c r="P168" s="68"/>
      <c r="Q168" s="68">
        <v>300000</v>
      </c>
      <c r="R168" s="68"/>
      <c r="S168" s="68"/>
      <c r="T168" s="68"/>
      <c r="U168" s="68">
        <f>600000-500000</f>
        <v>100000</v>
      </c>
      <c r="V168" s="68">
        <f>600000-150000</f>
        <v>450000</v>
      </c>
      <c r="W168" s="68">
        <f>500000-500000</f>
        <v>0</v>
      </c>
      <c r="X168" s="68"/>
      <c r="Y168" s="19">
        <f t="shared" si="31"/>
        <v>850000</v>
      </c>
      <c r="Z168" s="54">
        <f t="shared" si="32"/>
        <v>0</v>
      </c>
    </row>
    <row r="169" spans="1:26" ht="45" customHeight="1">
      <c r="A169" s="1"/>
      <c r="B169" s="17"/>
      <c r="C169" s="40" t="s">
        <v>50</v>
      </c>
      <c r="D169" s="42">
        <f t="shared" si="29"/>
        <v>3200000</v>
      </c>
      <c r="E169" s="23"/>
      <c r="F169" s="42">
        <f t="shared" si="30"/>
        <v>3200000</v>
      </c>
      <c r="G169" s="43">
        <v>3200000</v>
      </c>
      <c r="H169" s="42">
        <f>1303449+951.6+16375.42+15203.4+3675.39</f>
        <v>1339654.8099999998</v>
      </c>
      <c r="I169" s="37">
        <f t="shared" si="34"/>
        <v>41.86421281249999</v>
      </c>
      <c r="J169" s="56">
        <f t="shared" si="27"/>
        <v>60.89340045454544</v>
      </c>
      <c r="L169" s="64">
        <f t="shared" si="28"/>
        <v>-860345.1900000002</v>
      </c>
      <c r="M169" s="68"/>
      <c r="N169" s="68">
        <v>1600000</v>
      </c>
      <c r="O169" s="68">
        <f>1600000-700000</f>
        <v>900000</v>
      </c>
      <c r="P169" s="68"/>
      <c r="Q169" s="68">
        <f>-1100000</f>
        <v>-1100000</v>
      </c>
      <c r="R169" s="68"/>
      <c r="S169" s="68">
        <f>700000</f>
        <v>700000</v>
      </c>
      <c r="T169" s="68">
        <f>1100000</f>
        <v>1100000</v>
      </c>
      <c r="U169" s="68">
        <f>-520000-1000000-9000-71100</f>
        <v>-1600100</v>
      </c>
      <c r="V169" s="68">
        <f>120000</f>
        <v>120000</v>
      </c>
      <c r="W169" s="68">
        <f>400000+9000+71100</f>
        <v>480100</v>
      </c>
      <c r="X169" s="68">
        <f>1000000</f>
        <v>1000000</v>
      </c>
      <c r="Y169" s="19">
        <f t="shared" si="31"/>
        <v>3200000</v>
      </c>
      <c r="Z169" s="54">
        <f t="shared" si="32"/>
        <v>0</v>
      </c>
    </row>
    <row r="170" spans="1:26" ht="45" customHeight="1" hidden="1">
      <c r="A170" s="1"/>
      <c r="B170" s="17"/>
      <c r="C170" s="39" t="s">
        <v>51</v>
      </c>
      <c r="D170" s="42">
        <f t="shared" si="29"/>
        <v>0</v>
      </c>
      <c r="E170" s="23"/>
      <c r="F170" s="42">
        <f t="shared" si="30"/>
        <v>0</v>
      </c>
      <c r="G170" s="42">
        <f>147000-147000</f>
        <v>0</v>
      </c>
      <c r="H170" s="21"/>
      <c r="I170" s="35"/>
      <c r="J170" s="56" t="e">
        <f t="shared" si="27"/>
        <v>#DIV/0!</v>
      </c>
      <c r="L170" s="64">
        <f t="shared" si="28"/>
        <v>0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>
        <f>147000-147000</f>
        <v>0</v>
      </c>
      <c r="X170" s="68"/>
      <c r="Y170" s="19">
        <f t="shared" si="31"/>
        <v>0</v>
      </c>
      <c r="Z170" s="54">
        <f t="shared" si="32"/>
        <v>0</v>
      </c>
    </row>
    <row r="171" spans="1:26" ht="45" customHeight="1" hidden="1">
      <c r="A171" s="1"/>
      <c r="B171" s="17"/>
      <c r="C171" s="39" t="s">
        <v>52</v>
      </c>
      <c r="D171" s="42">
        <f t="shared" si="29"/>
        <v>0</v>
      </c>
      <c r="E171" s="23"/>
      <c r="F171" s="42">
        <f t="shared" si="30"/>
        <v>0</v>
      </c>
      <c r="G171" s="42">
        <f>1036000-1036000</f>
        <v>0</v>
      </c>
      <c r="H171" s="21"/>
      <c r="I171" s="35"/>
      <c r="J171" s="56" t="e">
        <f t="shared" si="27"/>
        <v>#DIV/0!</v>
      </c>
      <c r="L171" s="64">
        <f t="shared" si="28"/>
        <v>0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>
        <f>1036000-1036000</f>
        <v>0</v>
      </c>
      <c r="X171" s="68"/>
      <c r="Y171" s="19">
        <f t="shared" si="31"/>
        <v>0</v>
      </c>
      <c r="Z171" s="54">
        <f t="shared" si="32"/>
        <v>0</v>
      </c>
    </row>
    <row r="172" spans="1:26" ht="45" customHeight="1" hidden="1">
      <c r="A172" s="1"/>
      <c r="B172" s="17"/>
      <c r="C172" s="39" t="s">
        <v>53</v>
      </c>
      <c r="D172" s="42">
        <f t="shared" si="29"/>
        <v>0</v>
      </c>
      <c r="E172" s="23"/>
      <c r="F172" s="42">
        <f t="shared" si="30"/>
        <v>0</v>
      </c>
      <c r="G172" s="42">
        <f>137000-137000</f>
        <v>0</v>
      </c>
      <c r="H172" s="21"/>
      <c r="I172" s="35"/>
      <c r="J172" s="56" t="e">
        <f t="shared" si="27"/>
        <v>#DIV/0!</v>
      </c>
      <c r="L172" s="64">
        <f t="shared" si="28"/>
        <v>0</v>
      </c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>
        <f>137000-137000</f>
        <v>0</v>
      </c>
      <c r="X172" s="68"/>
      <c r="Y172" s="19">
        <f t="shared" si="31"/>
        <v>0</v>
      </c>
      <c r="Z172" s="54">
        <f t="shared" si="32"/>
        <v>0</v>
      </c>
    </row>
    <row r="173" spans="1:26" ht="45" customHeight="1" hidden="1">
      <c r="A173" s="1"/>
      <c r="B173" s="17"/>
      <c r="C173" s="39" t="s">
        <v>54</v>
      </c>
      <c r="D173" s="42">
        <f t="shared" si="29"/>
        <v>0</v>
      </c>
      <c r="E173" s="23"/>
      <c r="F173" s="42">
        <f t="shared" si="30"/>
        <v>0</v>
      </c>
      <c r="G173" s="42">
        <f>254000-254000</f>
        <v>0</v>
      </c>
      <c r="H173" s="21"/>
      <c r="I173" s="35"/>
      <c r="J173" s="56" t="e">
        <f t="shared" si="27"/>
        <v>#DIV/0!</v>
      </c>
      <c r="L173" s="64">
        <f t="shared" si="28"/>
        <v>0</v>
      </c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>
        <f>254000-254000</f>
        <v>0</v>
      </c>
      <c r="X173" s="68"/>
      <c r="Y173" s="19">
        <f t="shared" si="31"/>
        <v>0</v>
      </c>
      <c r="Z173" s="54">
        <f t="shared" si="32"/>
        <v>0</v>
      </c>
    </row>
    <row r="174" spans="1:26" ht="45" customHeight="1" hidden="1">
      <c r="A174" s="1"/>
      <c r="B174" s="17"/>
      <c r="C174" s="39" t="s">
        <v>55</v>
      </c>
      <c r="D174" s="42">
        <f t="shared" si="29"/>
        <v>0</v>
      </c>
      <c r="E174" s="23"/>
      <c r="F174" s="42">
        <f t="shared" si="30"/>
        <v>0</v>
      </c>
      <c r="G174" s="42">
        <f>400000-400000</f>
        <v>0</v>
      </c>
      <c r="H174" s="21"/>
      <c r="I174" s="35"/>
      <c r="J174" s="56" t="e">
        <f t="shared" si="27"/>
        <v>#DIV/0!</v>
      </c>
      <c r="L174" s="64">
        <f t="shared" si="28"/>
        <v>0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>
        <f>400000-400000</f>
        <v>0</v>
      </c>
      <c r="X174" s="68"/>
      <c r="Y174" s="19">
        <f t="shared" si="31"/>
        <v>0</v>
      </c>
      <c r="Z174" s="54">
        <f t="shared" si="32"/>
        <v>0</v>
      </c>
    </row>
    <row r="175" spans="1:26" ht="45" customHeight="1" hidden="1">
      <c r="A175" s="1"/>
      <c r="B175" s="17"/>
      <c r="C175" s="41" t="s">
        <v>56</v>
      </c>
      <c r="D175" s="42">
        <f t="shared" si="29"/>
        <v>0</v>
      </c>
      <c r="E175" s="23"/>
      <c r="F175" s="42">
        <f t="shared" si="30"/>
        <v>0</v>
      </c>
      <c r="G175" s="44">
        <f>248000-248000</f>
        <v>0</v>
      </c>
      <c r="H175" s="21"/>
      <c r="I175" s="35"/>
      <c r="J175" s="56" t="e">
        <f t="shared" si="27"/>
        <v>#DIV/0!</v>
      </c>
      <c r="L175" s="64">
        <f t="shared" si="28"/>
        <v>0</v>
      </c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>
        <f>248000-248000</f>
        <v>0</v>
      </c>
      <c r="X175" s="68"/>
      <c r="Y175" s="19">
        <f t="shared" si="31"/>
        <v>0</v>
      </c>
      <c r="Z175" s="54">
        <f t="shared" si="32"/>
        <v>0</v>
      </c>
    </row>
    <row r="176" spans="1:26" ht="45" customHeight="1">
      <c r="A176" s="1"/>
      <c r="B176" s="17"/>
      <c r="C176" s="39" t="s">
        <v>57</v>
      </c>
      <c r="D176" s="42">
        <f t="shared" si="29"/>
        <v>3300000</v>
      </c>
      <c r="E176" s="23"/>
      <c r="F176" s="42">
        <f t="shared" si="30"/>
        <v>3300000</v>
      </c>
      <c r="G176" s="42">
        <v>3300000</v>
      </c>
      <c r="H176" s="43">
        <f>2455.85+748029.6+486704.4+10141.11-447392.4</f>
        <v>799938.5600000002</v>
      </c>
      <c r="I176" s="37">
        <f aca="true" t="shared" si="35" ref="I176:I182">H176/G176*100</f>
        <v>24.24056242424243</v>
      </c>
      <c r="J176" s="56">
        <f t="shared" si="27"/>
        <v>24.24056242424243</v>
      </c>
      <c r="L176" s="64">
        <f t="shared" si="28"/>
        <v>-2500061.44</v>
      </c>
      <c r="M176" s="68"/>
      <c r="N176" s="68"/>
      <c r="O176" s="68">
        <f>2500</f>
        <v>2500</v>
      </c>
      <c r="P176" s="68"/>
      <c r="Q176" s="68">
        <f>1000000-200000</f>
        <v>800000</v>
      </c>
      <c r="R176" s="68"/>
      <c r="S176" s="68"/>
      <c r="T176" s="68">
        <f>2300000-2500+200000</f>
        <v>2497500</v>
      </c>
      <c r="U176" s="68">
        <f>-2400000+490000</f>
        <v>-1910000</v>
      </c>
      <c r="V176" s="42">
        <f>2400000-490000-2000000</f>
        <v>-90000</v>
      </c>
      <c r="W176" s="42">
        <v>2000000</v>
      </c>
      <c r="X176" s="42"/>
      <c r="Y176" s="19">
        <f t="shared" si="31"/>
        <v>3300000</v>
      </c>
      <c r="Z176" s="54">
        <f t="shared" si="32"/>
        <v>0</v>
      </c>
    </row>
    <row r="177" spans="1:26" ht="45" customHeight="1">
      <c r="A177" s="1"/>
      <c r="B177" s="17"/>
      <c r="C177" s="39" t="s">
        <v>58</v>
      </c>
      <c r="D177" s="42">
        <f t="shared" si="29"/>
        <v>15816622.59</v>
      </c>
      <c r="E177" s="23"/>
      <c r="F177" s="42">
        <f t="shared" si="30"/>
        <v>15816622.59</v>
      </c>
      <c r="G177" s="42">
        <f>12120000+3696622.59</f>
        <v>15816622.59</v>
      </c>
      <c r="H177" s="43">
        <f>37910.17+6413+179414.38+90180+31078.8+86406+38662+4080211.2+1636437.56+20798.51+366192.62+2844627.6+1873.78-21703.2+35177.1</f>
        <v>9433679.52</v>
      </c>
      <c r="I177" s="37">
        <f t="shared" si="35"/>
        <v>59.64408309245748</v>
      </c>
      <c r="J177" s="56">
        <f t="shared" si="27"/>
        <v>63.16676141768408</v>
      </c>
      <c r="L177" s="64">
        <f t="shared" si="28"/>
        <v>-5500883.07</v>
      </c>
      <c r="M177" s="68"/>
      <c r="N177" s="68"/>
      <c r="O177" s="68"/>
      <c r="P177" s="68">
        <f>3300000-1460000-1710000</f>
        <v>130000</v>
      </c>
      <c r="Q177" s="68">
        <f>1329200-1400000</f>
        <v>-70800</v>
      </c>
      <c r="R177" s="68">
        <f>2379528.46-2300000+86000</f>
        <v>165528.45999999996</v>
      </c>
      <c r="S177" s="68">
        <f>330800+1460000+1710000+2300000-86000</f>
        <v>5714800</v>
      </c>
      <c r="T177" s="68">
        <f>1991271.54+1400000</f>
        <v>3391271.54</v>
      </c>
      <c r="U177" s="68">
        <f>-330000-100000+1500000</f>
        <v>1070000</v>
      </c>
      <c r="V177" s="68">
        <f>2789200+330000+100000-1500000-601000+25000</f>
        <v>1143200</v>
      </c>
      <c r="W177" s="68">
        <f>601000+2789562.59</f>
        <v>3390562.59</v>
      </c>
      <c r="X177" s="68">
        <f>882060</f>
        <v>882060</v>
      </c>
      <c r="Y177" s="19">
        <f t="shared" si="31"/>
        <v>15816622.59</v>
      </c>
      <c r="Z177" s="54">
        <f t="shared" si="32"/>
        <v>0</v>
      </c>
    </row>
    <row r="178" spans="1:26" ht="45" customHeight="1">
      <c r="A178" s="1"/>
      <c r="B178" s="17"/>
      <c r="C178" s="39" t="s">
        <v>59</v>
      </c>
      <c r="D178" s="42">
        <f t="shared" si="29"/>
        <v>22500000</v>
      </c>
      <c r="E178" s="23"/>
      <c r="F178" s="42">
        <f t="shared" si="30"/>
        <v>22500000</v>
      </c>
      <c r="G178" s="42">
        <f>18000000+3500000+1000000</f>
        <v>22500000</v>
      </c>
      <c r="H178" s="42">
        <f>4351772.44+7541+3400000+581526.71+692783.83-69412.37+51856.29+3809977.2+4948579.2+67593.8+344365.2+51981.49+71006.4+918.19+472618.14</f>
        <v>18783107.52</v>
      </c>
      <c r="I178" s="37">
        <f t="shared" si="35"/>
        <v>83.48047786666667</v>
      </c>
      <c r="J178" s="56">
        <f t="shared" si="27"/>
        <v>96.32362830769232</v>
      </c>
      <c r="L178" s="64">
        <f t="shared" si="28"/>
        <v>-716892.4800000004</v>
      </c>
      <c r="M178" s="42"/>
      <c r="N178" s="42"/>
      <c r="O178" s="42">
        <v>5644871.54</v>
      </c>
      <c r="P178" s="42">
        <f>-3000000+1710000</f>
        <v>-1290000</v>
      </c>
      <c r="Q178" s="42">
        <f>5000+3400000</f>
        <v>3405000</v>
      </c>
      <c r="R178" s="42">
        <f>582000</f>
        <v>582000</v>
      </c>
      <c r="S178" s="42">
        <f>3355128.46+3000000-1710000-5000-3400000-582000</f>
        <v>658128.46</v>
      </c>
      <c r="T178" s="42">
        <v>34000</v>
      </c>
      <c r="U178" s="42">
        <f>3500000-34000+330000+100000+5300000+9000+71100</f>
        <v>9276100</v>
      </c>
      <c r="V178" s="42">
        <f>3000000-330000-100000-2570000+1000+368000+105000</f>
        <v>474000</v>
      </c>
      <c r="W178" s="42">
        <f>3000000-2730000-9000-71100-1000+1000000-368000-105000</f>
        <v>715900</v>
      </c>
      <c r="X178" s="42">
        <v>3000000</v>
      </c>
      <c r="Y178" s="19">
        <f t="shared" si="31"/>
        <v>22500000</v>
      </c>
      <c r="Z178" s="54">
        <f t="shared" si="32"/>
        <v>0</v>
      </c>
    </row>
    <row r="179" spans="1:26" ht="45" customHeight="1">
      <c r="A179" s="1"/>
      <c r="B179" s="17"/>
      <c r="C179" s="39" t="s">
        <v>60</v>
      </c>
      <c r="D179" s="42">
        <f t="shared" si="29"/>
        <v>21970000</v>
      </c>
      <c r="E179" s="23"/>
      <c r="F179" s="42">
        <f t="shared" si="30"/>
        <v>21970000</v>
      </c>
      <c r="G179" s="42">
        <f>8000000+5000000+11970000-3000000</f>
        <v>21970000</v>
      </c>
      <c r="H179" s="42">
        <f>3875000+140381+44901.72+60713.69+2475000+1796649.46-68910+8218.88+1941103.8+44016.77+802626.31+10468.97</f>
        <v>11130170.600000001</v>
      </c>
      <c r="I179" s="37">
        <f t="shared" si="35"/>
        <v>50.66076741010469</v>
      </c>
      <c r="J179" s="56">
        <f t="shared" si="27"/>
        <v>48.45524858511102</v>
      </c>
      <c r="L179" s="64">
        <f t="shared" si="28"/>
        <v>-11839829.399999999</v>
      </c>
      <c r="M179" s="42"/>
      <c r="N179" s="42"/>
      <c r="O179" s="42">
        <v>3875000</v>
      </c>
      <c r="P179" s="42"/>
      <c r="Q179" s="42">
        <v>141000</v>
      </c>
      <c r="R179" s="42"/>
      <c r="S179" s="42">
        <f>2091666.54-2091666.54</f>
        <v>0</v>
      </c>
      <c r="T179" s="42">
        <f>1908333.46-1783333.46</f>
        <v>125000</v>
      </c>
      <c r="U179" s="42">
        <f>2500000+1800000</f>
        <v>4300000</v>
      </c>
      <c r="V179" s="42">
        <f>2000000+5668562.59-368000-105000-1200000</f>
        <v>5995562.59</v>
      </c>
      <c r="W179" s="42">
        <f>2000000-141000+5000000-2500000-1800000-2000000+6301437.41+368000+105000+1200000</f>
        <v>8533437.41</v>
      </c>
      <c r="X179" s="42">
        <v>2000000</v>
      </c>
      <c r="Y179" s="19">
        <f t="shared" si="31"/>
        <v>24970000</v>
      </c>
      <c r="Z179" s="54">
        <f t="shared" si="32"/>
        <v>3000000</v>
      </c>
    </row>
    <row r="180" spans="1:26" ht="45" customHeight="1">
      <c r="A180" s="1"/>
      <c r="B180" s="17"/>
      <c r="C180" s="39" t="s">
        <v>61</v>
      </c>
      <c r="D180" s="42">
        <f t="shared" si="29"/>
        <v>110000</v>
      </c>
      <c r="E180" s="23"/>
      <c r="F180" s="42">
        <f t="shared" si="30"/>
        <v>110000</v>
      </c>
      <c r="G180" s="42">
        <f>1000000-890000</f>
        <v>110000</v>
      </c>
      <c r="H180" s="21">
        <f>98383</f>
        <v>98383</v>
      </c>
      <c r="I180" s="37">
        <f t="shared" si="35"/>
        <v>89.43909090909091</v>
      </c>
      <c r="J180" s="56">
        <f t="shared" si="27"/>
        <v>89.43909090909091</v>
      </c>
      <c r="L180" s="64">
        <f t="shared" si="28"/>
        <v>-11617</v>
      </c>
      <c r="M180" s="68"/>
      <c r="N180" s="68"/>
      <c r="O180" s="68"/>
      <c r="P180" s="68"/>
      <c r="Q180" s="68">
        <v>100000</v>
      </c>
      <c r="R180" s="68"/>
      <c r="S180" s="68"/>
      <c r="T180" s="68"/>
      <c r="U180" s="68"/>
      <c r="V180" s="68">
        <f>400000-390000</f>
        <v>10000</v>
      </c>
      <c r="W180" s="68"/>
      <c r="X180" s="68">
        <f>500000-500000</f>
        <v>0</v>
      </c>
      <c r="Y180" s="19">
        <f t="shared" si="31"/>
        <v>110000</v>
      </c>
      <c r="Z180" s="54">
        <f t="shared" si="32"/>
        <v>0</v>
      </c>
    </row>
    <row r="181" spans="1:26" ht="24" customHeight="1" hidden="1">
      <c r="A181" s="1"/>
      <c r="B181" s="17"/>
      <c r="C181" s="41" t="s">
        <v>62</v>
      </c>
      <c r="D181" s="42">
        <f t="shared" si="29"/>
        <v>0</v>
      </c>
      <c r="E181" s="23"/>
      <c r="F181" s="42">
        <f t="shared" si="30"/>
        <v>0</v>
      </c>
      <c r="G181" s="44">
        <f>500000-500000</f>
        <v>0</v>
      </c>
      <c r="H181" s="21"/>
      <c r="I181" s="37" t="e">
        <f t="shared" si="35"/>
        <v>#DIV/0!</v>
      </c>
      <c r="J181" s="56" t="e">
        <f t="shared" si="27"/>
        <v>#DIV/0!</v>
      </c>
      <c r="L181" s="64">
        <f t="shared" si="28"/>
        <v>0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>
        <f>250000-250000</f>
        <v>0</v>
      </c>
      <c r="X181" s="68">
        <f>250000-250000</f>
        <v>0</v>
      </c>
      <c r="Y181" s="19">
        <f t="shared" si="31"/>
        <v>0</v>
      </c>
      <c r="Z181" s="54">
        <f t="shared" si="32"/>
        <v>0</v>
      </c>
    </row>
    <row r="182" spans="1:26" ht="24.75" customHeight="1">
      <c r="A182" s="1"/>
      <c r="B182" s="17"/>
      <c r="C182" s="41" t="s">
        <v>63</v>
      </c>
      <c r="D182" s="42">
        <f t="shared" si="29"/>
        <v>1295000</v>
      </c>
      <c r="E182" s="23"/>
      <c r="F182" s="42">
        <f t="shared" si="30"/>
        <v>1295000</v>
      </c>
      <c r="G182" s="44">
        <f>5000000-500000-200000-3005000</f>
        <v>1295000</v>
      </c>
      <c r="H182" s="21">
        <f>270000</f>
        <v>270000</v>
      </c>
      <c r="I182" s="37">
        <f t="shared" si="35"/>
        <v>20.84942084942085</v>
      </c>
      <c r="J182" s="56">
        <f t="shared" si="27"/>
        <v>100</v>
      </c>
      <c r="L182" s="64">
        <f t="shared" si="28"/>
        <v>0</v>
      </c>
      <c r="M182" s="68"/>
      <c r="N182" s="68"/>
      <c r="O182" s="68"/>
      <c r="P182" s="68"/>
      <c r="Q182" s="68"/>
      <c r="R182" s="68"/>
      <c r="S182" s="68">
        <f>100000</f>
        <v>100000</v>
      </c>
      <c r="T182" s="68"/>
      <c r="U182" s="68"/>
      <c r="V182" s="68">
        <f>170000</f>
        <v>170000</v>
      </c>
      <c r="W182" s="68"/>
      <c r="X182" s="68">
        <f>1195000-170000</f>
        <v>1025000</v>
      </c>
      <c r="Y182" s="19">
        <f t="shared" si="31"/>
        <v>1295000</v>
      </c>
      <c r="Z182" s="54">
        <f t="shared" si="32"/>
        <v>0</v>
      </c>
    </row>
    <row r="183" spans="1:26" ht="18.75">
      <c r="A183" s="24"/>
      <c r="B183" s="14"/>
      <c r="C183" s="25" t="s">
        <v>6</v>
      </c>
      <c r="D183" s="16">
        <f>D9+D148</f>
        <v>306389494.07</v>
      </c>
      <c r="E183" s="16">
        <f>E9+E148</f>
        <v>60585105.88</v>
      </c>
      <c r="F183" s="16">
        <f>F9+F148</f>
        <v>245804388.19</v>
      </c>
      <c r="G183" s="16">
        <f>G9+G148</f>
        <v>245804388.19</v>
      </c>
      <c r="H183" s="16">
        <f>H9+H148</f>
        <v>206944718.76</v>
      </c>
      <c r="I183" s="32">
        <f>H183/D183*100</f>
        <v>67.54302049035658</v>
      </c>
      <c r="J183" s="60">
        <f>H183/(N183+O183+P183+Q183+R183+S183+T183+U183+V183+W183)*100</f>
        <v>77.58901120108173</v>
      </c>
      <c r="L183" s="64">
        <f t="shared" si="28"/>
        <v>-65275189.46999997</v>
      </c>
      <c r="M183" s="68">
        <f>M9+M148</f>
        <v>5500800</v>
      </c>
      <c r="N183" s="68">
        <f aca="true" t="shared" si="36" ref="N183:X183">N9+N26+N148</f>
        <v>7474745</v>
      </c>
      <c r="O183" s="68">
        <f t="shared" si="36"/>
        <v>53795455.42</v>
      </c>
      <c r="P183" s="68">
        <f t="shared" si="36"/>
        <v>21619022</v>
      </c>
      <c r="Q183" s="68">
        <f t="shared" si="36"/>
        <v>15812043</v>
      </c>
      <c r="R183" s="68">
        <f t="shared" si="36"/>
        <v>11312906.419999998</v>
      </c>
      <c r="S183" s="68">
        <f t="shared" si="36"/>
        <v>26779125.97</v>
      </c>
      <c r="T183" s="68">
        <f t="shared" si="36"/>
        <v>38469787.04</v>
      </c>
      <c r="U183" s="68">
        <f t="shared" si="36"/>
        <v>24989567.23</v>
      </c>
      <c r="V183" s="68">
        <f t="shared" si="36"/>
        <v>29895506.48</v>
      </c>
      <c r="W183" s="68">
        <f t="shared" si="36"/>
        <v>36570949.67</v>
      </c>
      <c r="X183" s="68">
        <f t="shared" si="36"/>
        <v>32400989.740000002</v>
      </c>
      <c r="Y183" s="19">
        <f>SUM(M183:X183)</f>
        <v>304620897.96999997</v>
      </c>
      <c r="Z183" s="54">
        <f>Y183-D183</f>
        <v>-1768596.1000000238</v>
      </c>
    </row>
    <row r="184" spans="1:12" ht="18.75">
      <c r="A184" s="28"/>
      <c r="B184" s="29"/>
      <c r="C184" s="30"/>
      <c r="D184" s="105"/>
      <c r="E184" s="31"/>
      <c r="F184" s="31"/>
      <c r="G184" s="105"/>
      <c r="L184" s="26"/>
    </row>
    <row r="185" spans="1:6" ht="18.75">
      <c r="A185" s="2"/>
      <c r="B185" s="26"/>
      <c r="C185" s="27"/>
      <c r="D185" s="3"/>
      <c r="E185" s="26"/>
      <c r="F185" s="26"/>
    </row>
  </sheetData>
  <sheetProtection/>
  <mergeCells count="28">
    <mergeCell ref="H5:H6"/>
    <mergeCell ref="J18:J25"/>
    <mergeCell ref="W6:W7"/>
    <mergeCell ref="R6:R7"/>
    <mergeCell ref="J5:J6"/>
    <mergeCell ref="L6:L7"/>
    <mergeCell ref="M6:M7"/>
    <mergeCell ref="N6:N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2017-11-28T14:50:30Z</dcterms:modified>
  <cp:category/>
  <cp:version/>
  <cp:contentType/>
  <cp:contentStatus/>
</cp:coreProperties>
</file>